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8755" windowHeight="12810" activeTab="2"/>
  </bookViews>
  <sheets>
    <sheet name="Blad1" sheetId="1" r:id="rId1"/>
    <sheet name="Mayan Calendar history" sheetId="2" r:id="rId2"/>
    <sheet name="Mayan Calendar calculation" sheetId="3" r:id="rId3"/>
  </sheets>
  <definedNames>
    <definedName name="_xlnm.Print_Area" localSheetId="2">'Mayan Calendar calculation'!$A$20:$CG$74</definedName>
    <definedName name="_xlnm.Print_Area" localSheetId="1">'Mayan Calendar history'!$A$20:$CG$74</definedName>
  </definedNames>
  <calcPr calcId="125725"/>
  <fileRecoveryPr repairLoad="1"/>
</workbook>
</file>

<file path=xl/calcChain.xml><?xml version="1.0" encoding="utf-8"?>
<calcChain xmlns="http://schemas.openxmlformats.org/spreadsheetml/2006/main">
  <c r="K62" i="3"/>
  <c r="P62"/>
  <c r="U62"/>
  <c r="Z62"/>
  <c r="AE62"/>
  <c r="AJ62"/>
  <c r="AO62"/>
  <c r="AT62"/>
  <c r="AY62"/>
  <c r="BD62"/>
  <c r="BI62"/>
  <c r="BN62"/>
  <c r="F62"/>
  <c r="K57"/>
  <c r="P57"/>
  <c r="U57"/>
  <c r="Z57"/>
  <c r="AE57"/>
  <c r="AJ57"/>
  <c r="AO57"/>
  <c r="AT57"/>
  <c r="AY57"/>
  <c r="BD57"/>
  <c r="BI57"/>
  <c r="BN57"/>
  <c r="F57"/>
  <c r="K52"/>
  <c r="P52"/>
  <c r="U52"/>
  <c r="Z52"/>
  <c r="AE52"/>
  <c r="AJ52"/>
  <c r="AO52"/>
  <c r="AT52"/>
  <c r="AY52"/>
  <c r="BD52"/>
  <c r="BI52"/>
  <c r="BN52"/>
  <c r="F52"/>
  <c r="K47"/>
  <c r="P47"/>
  <c r="U47"/>
  <c r="Z47"/>
  <c r="AE47"/>
  <c r="AJ47"/>
  <c r="AO47"/>
  <c r="AT47"/>
  <c r="AY47"/>
  <c r="BD47"/>
  <c r="BI47"/>
  <c r="BN47"/>
  <c r="F47"/>
  <c r="K42"/>
  <c r="P42"/>
  <c r="U42"/>
  <c r="Z42"/>
  <c r="AE42"/>
  <c r="AJ42"/>
  <c r="AO42"/>
  <c r="AT42"/>
  <c r="AY42"/>
  <c r="BD42"/>
  <c r="BI42"/>
  <c r="F42"/>
  <c r="K32"/>
  <c r="P32"/>
  <c r="U32"/>
  <c r="Z32"/>
  <c r="AE32"/>
  <c r="AJ32"/>
  <c r="AO32"/>
  <c r="F32"/>
  <c r="K37"/>
  <c r="P37"/>
  <c r="U37"/>
  <c r="Z37"/>
  <c r="AE37"/>
  <c r="AJ37"/>
  <c r="AO37"/>
  <c r="AT37"/>
  <c r="AY37"/>
  <c r="BD37"/>
  <c r="BI37"/>
  <c r="BN37"/>
  <c r="F37"/>
  <c r="BN42"/>
  <c r="BI32"/>
  <c r="AT32"/>
  <c r="AY32"/>
  <c r="BD32"/>
  <c r="BN32"/>
  <c r="F24"/>
  <c r="K24"/>
  <c r="P24"/>
  <c r="U24"/>
  <c r="Z24"/>
  <c r="AE24"/>
  <c r="AJ24"/>
  <c r="AO24"/>
  <c r="AT24"/>
  <c r="AY24"/>
  <c r="BD24"/>
  <c r="BI24"/>
  <c r="BN24"/>
  <c r="BJ23"/>
  <c r="BE23"/>
  <c r="AZ23"/>
  <c r="AU23"/>
  <c r="AP23"/>
  <c r="AK23"/>
  <c r="AF23"/>
  <c r="AA23"/>
  <c r="V23"/>
  <c r="Q23"/>
  <c r="L23"/>
  <c r="G23"/>
  <c r="BO23"/>
  <c r="F22"/>
  <c r="K22"/>
  <c r="P22"/>
  <c r="U22"/>
  <c r="Z22"/>
  <c r="AE22"/>
  <c r="AJ22"/>
  <c r="AO22"/>
  <c r="AT22"/>
  <c r="AY22"/>
  <c r="BD22"/>
  <c r="BI22"/>
  <c r="BN22"/>
  <c r="F27"/>
  <c r="K27"/>
  <c r="P27"/>
  <c r="U27"/>
  <c r="Z27"/>
  <c r="AE27"/>
  <c r="AJ27"/>
  <c r="AO27"/>
  <c r="AT27"/>
  <c r="AY27"/>
  <c r="BD27"/>
  <c r="BI27"/>
  <c r="BN27"/>
  <c r="BJ33"/>
  <c r="BI34"/>
  <c r="BD1"/>
  <c r="K64"/>
  <c r="P64"/>
  <c r="U64"/>
  <c r="Z64"/>
  <c r="AE64"/>
  <c r="AJ64"/>
  <c r="AO64"/>
  <c r="AT64"/>
  <c r="AY64"/>
  <c r="BD64"/>
  <c r="BI64"/>
  <c r="BN64"/>
  <c r="F64"/>
  <c r="K59"/>
  <c r="P59"/>
  <c r="U59"/>
  <c r="Z59"/>
  <c r="AE59"/>
  <c r="AJ59"/>
  <c r="AO59"/>
  <c r="AT59"/>
  <c r="AY59"/>
  <c r="BD59"/>
  <c r="BI59"/>
  <c r="BN59"/>
  <c r="F59"/>
  <c r="AT29"/>
  <c r="AU33"/>
  <c r="AT34"/>
  <c r="AU38"/>
  <c r="AT39"/>
  <c r="AU43"/>
  <c r="AT44"/>
  <c r="AU48"/>
  <c r="AT49"/>
  <c r="AU53"/>
  <c r="AT54"/>
  <c r="AU58"/>
  <c r="AU63"/>
  <c r="K54"/>
  <c r="P54"/>
  <c r="U54"/>
  <c r="Z54"/>
  <c r="AE54"/>
  <c r="AJ54"/>
  <c r="AO54"/>
  <c r="AY54"/>
  <c r="BD54"/>
  <c r="BI54"/>
  <c r="BN54"/>
  <c r="F54"/>
  <c r="K49"/>
  <c r="P49"/>
  <c r="U49"/>
  <c r="Z49"/>
  <c r="AE49"/>
  <c r="AJ49"/>
  <c r="AO49"/>
  <c r="AY49"/>
  <c r="BD49"/>
  <c r="BI49"/>
  <c r="BN49"/>
  <c r="F49"/>
  <c r="BI44"/>
  <c r="BN44"/>
  <c r="K44"/>
  <c r="P44"/>
  <c r="U44"/>
  <c r="Z44"/>
  <c r="AE44"/>
  <c r="AJ44"/>
  <c r="AO44"/>
  <c r="AY44"/>
  <c r="BD44"/>
  <c r="F44"/>
  <c r="K39"/>
  <c r="P39"/>
  <c r="U39"/>
  <c r="Z39"/>
  <c r="AE39"/>
  <c r="AJ39"/>
  <c r="AO39"/>
  <c r="AY39"/>
  <c r="BD39"/>
  <c r="BI39"/>
  <c r="BN39"/>
  <c r="F39"/>
  <c r="K34"/>
  <c r="P34"/>
  <c r="U34"/>
  <c r="Z34"/>
  <c r="AE34"/>
  <c r="AJ34"/>
  <c r="AO34"/>
  <c r="AY34"/>
  <c r="BD34"/>
  <c r="BN34"/>
  <c r="F34"/>
  <c r="K29"/>
  <c r="P29"/>
  <c r="U29"/>
  <c r="Z29"/>
  <c r="AE29"/>
  <c r="AJ29"/>
  <c r="AO29"/>
  <c r="AY29"/>
  <c r="BD29"/>
  <c r="BI29"/>
  <c r="BN29"/>
  <c r="F29"/>
  <c r="BO33"/>
  <c r="BO38"/>
  <c r="BO43"/>
  <c r="BO48"/>
  <c r="BO53"/>
  <c r="BO58"/>
  <c r="BO63"/>
  <c r="BE33"/>
  <c r="AZ33"/>
  <c r="AP33"/>
  <c r="AK33"/>
  <c r="AF33"/>
  <c r="AA33"/>
  <c r="V33"/>
  <c r="Q33"/>
  <c r="L33"/>
  <c r="G33"/>
  <c r="L38"/>
  <c r="Q38"/>
  <c r="V38"/>
  <c r="AA38"/>
  <c r="AF38"/>
  <c r="AK38"/>
  <c r="AP38"/>
  <c r="AZ38"/>
  <c r="BE38"/>
  <c r="BJ38"/>
  <c r="G38"/>
  <c r="L43"/>
  <c r="Q43"/>
  <c r="V43"/>
  <c r="AA43"/>
  <c r="AF43"/>
  <c r="AK43"/>
  <c r="AP43"/>
  <c r="AZ43"/>
  <c r="BE43"/>
  <c r="BJ43"/>
  <c r="G43"/>
  <c r="Q48"/>
  <c r="V48"/>
  <c r="AA48"/>
  <c r="AF48"/>
  <c r="AK48"/>
  <c r="AP48"/>
  <c r="AZ48"/>
  <c r="BE48"/>
  <c r="BJ48"/>
  <c r="L48"/>
  <c r="G48"/>
  <c r="BJ53"/>
  <c r="BE53"/>
  <c r="AZ53"/>
  <c r="AP53"/>
  <c r="AK53"/>
  <c r="AF53"/>
  <c r="AA53"/>
  <c r="V53"/>
  <c r="Q53"/>
  <c r="L53"/>
  <c r="G53"/>
  <c r="L63"/>
  <c r="BJ58"/>
  <c r="BE58"/>
  <c r="AZ58"/>
  <c r="AP58"/>
  <c r="AK58"/>
  <c r="AF58"/>
  <c r="AA58"/>
  <c r="V58"/>
  <c r="Q58"/>
  <c r="L58"/>
  <c r="G58"/>
  <c r="BJ63"/>
  <c r="BE63"/>
  <c r="AZ63"/>
  <c r="AP63"/>
  <c r="AK63"/>
  <c r="AF63"/>
  <c r="AA63"/>
  <c r="V63"/>
  <c r="Q63"/>
  <c r="G63"/>
</calcChain>
</file>

<file path=xl/sharedStrings.xml><?xml version="1.0" encoding="utf-8"?>
<sst xmlns="http://schemas.openxmlformats.org/spreadsheetml/2006/main" count="439" uniqueCount="190">
  <si>
    <t>Bewust mee scheppen</t>
  </si>
  <si>
    <t>20 dagen</t>
  </si>
  <si>
    <t>Ethiek</t>
  </si>
  <si>
    <t>360 dagen</t>
  </si>
  <si>
    <t>Planetaire cyclus</t>
  </si>
  <si>
    <t>Macht</t>
  </si>
  <si>
    <t>19,7 jaar</t>
  </si>
  <si>
    <t>Nationale cyclus</t>
  </si>
  <si>
    <t>Wet</t>
  </si>
  <si>
    <t>394 jaar</t>
  </si>
  <si>
    <t>Culturele cyclus</t>
  </si>
  <si>
    <t>7.900 jaar</t>
  </si>
  <si>
    <t>Stammen cyclus</t>
  </si>
  <si>
    <t>158.000 jaar</t>
  </si>
  <si>
    <t>Familiaire cyclus</t>
  </si>
  <si>
    <t>3,1 miljoen jaar</t>
  </si>
  <si>
    <t>Dierlijke cyclus</t>
  </si>
  <si>
    <t>63,1 miljoen jaar</t>
  </si>
  <si>
    <t>Cellulaire cyclus</t>
  </si>
  <si>
    <t>1,26 miljard jaar</t>
  </si>
  <si>
    <t>16,4 miljard jaar geleden</t>
  </si>
  <si>
    <t>820 miljoen jaar geleden</t>
  </si>
  <si>
    <t>41 miljoen jaar geleden</t>
  </si>
  <si>
    <t>2 miljoen jaar geleden</t>
  </si>
  <si>
    <t>102.000 jaar geleden</t>
  </si>
  <si>
    <t>3.115 B.C.</t>
  </si>
  <si>
    <t>Gestart 1755 AD</t>
  </si>
  <si>
    <t>Gestart 4 januari 1999</t>
  </si>
  <si>
    <t>Begint ongeveer februari 2011</t>
  </si>
  <si>
    <t>Galactgische cyclus</t>
  </si>
  <si>
    <t>Universele cyclus</t>
  </si>
  <si>
    <t>Stimuleren / Resopns</t>
  </si>
  <si>
    <t>Actie / Reactie</t>
  </si>
  <si>
    <t>Reden</t>
  </si>
  <si>
    <t>Verschillen / Overeenkomsten</t>
  </si>
  <si>
    <t>Stimuleren / Individuels / Respons</t>
  </si>
  <si>
    <t>Ons zonnenstelsel ontstaan</t>
  </si>
  <si>
    <t>250 miljoen jaar metoor bombarnementen</t>
  </si>
  <si>
    <t>Eerste levende cel</t>
  </si>
  <si>
    <t>Cellen klonten</t>
  </si>
  <si>
    <t>250 miljoen jaar geleden komeet</t>
  </si>
  <si>
    <t>315 miljoen jaar geleden eerste leven op land</t>
  </si>
  <si>
    <t>Kudden / Scholen</t>
  </si>
  <si>
    <t>Kleuren visie</t>
  </si>
  <si>
    <t>?</t>
  </si>
  <si>
    <t>Eerste apen</t>
  </si>
  <si>
    <t>Erkenning</t>
  </si>
  <si>
    <t>Eersten apen zonder staart</t>
  </si>
  <si>
    <t>800.000 jaar geleden bewust van vuur</t>
  </si>
  <si>
    <t>IJstijd</t>
  </si>
  <si>
    <t>Homo Sapians</t>
  </si>
  <si>
    <t>Agra cultuur</t>
  </si>
  <si>
    <t>40.000 jaar geleden eerste kunst</t>
  </si>
  <si>
    <t>32.000 jaar gelden Neanderthaler steft uit</t>
  </si>
  <si>
    <t>Gedeelden reden vormt een groep</t>
  </si>
  <si>
    <t>Eerste beschavingen / Schrijven</t>
  </si>
  <si>
    <t>Adam en Eva uit het paradijs</t>
  </si>
  <si>
    <t>Jezus</t>
  </si>
  <si>
    <t>In het jaar 413 valt Rome</t>
  </si>
  <si>
    <t>Industriele revolutie</t>
  </si>
  <si>
    <t>4e dag eerste miljonairs</t>
  </si>
  <si>
    <t>1913 E=MC2 Hubble</t>
  </si>
  <si>
    <t>1932 WOII Autoombom</t>
  </si>
  <si>
    <t>"WWW.COM</t>
  </si>
  <si>
    <t>Y2K</t>
  </si>
  <si>
    <t>Big Bang</t>
  </si>
  <si>
    <t>Financiele crisus</t>
  </si>
  <si>
    <t>Cellulaire</t>
  </si>
  <si>
    <t>Alautuns 13 x 20 - 7</t>
  </si>
  <si>
    <t>Dierlijke</t>
  </si>
  <si>
    <t>Familiare</t>
  </si>
  <si>
    <t>Stammen</t>
  </si>
  <si>
    <t>Culturele</t>
  </si>
  <si>
    <t>Nationale</t>
  </si>
  <si>
    <t>Planetaire</t>
  </si>
  <si>
    <t>C</t>
  </si>
  <si>
    <t>Galactisch</t>
  </si>
  <si>
    <t>Universeel</t>
  </si>
  <si>
    <t>Alautuns 13 x 20 - 6</t>
  </si>
  <si>
    <t>Kinchiltuns 13 x 20 - 5</t>
  </si>
  <si>
    <t>Kalabtuns 13 x 20 - 4</t>
  </si>
  <si>
    <t>Piktuns 13 x 20 - 3</t>
  </si>
  <si>
    <t>Baktuns 13 x 20 - 2</t>
  </si>
  <si>
    <t>Katuns 13 x 20 - 1</t>
  </si>
  <si>
    <t>Katuns 12 x 20 - 1</t>
  </si>
  <si>
    <t>Katuns 11 x 20 - 1</t>
  </si>
  <si>
    <t>Katuns 10 x 20 - 1</t>
  </si>
  <si>
    <t>Katuns 9 x 20 - 1</t>
  </si>
  <si>
    <t>Katuns 8 x 20 - 1</t>
  </si>
  <si>
    <t>Katuns 7 x 20 - 1</t>
  </si>
  <si>
    <t>Katuns 6 x 20 - 1</t>
  </si>
  <si>
    <t>Katuns 5 x 20 - 1</t>
  </si>
  <si>
    <t>Katuns 4 x 20 - 1</t>
  </si>
  <si>
    <t>Katuns 3 x 20 - 1</t>
  </si>
  <si>
    <t>Katuns 2 x 20 - 1</t>
  </si>
  <si>
    <t>Katuns 1 x 20 - 1</t>
  </si>
  <si>
    <t>Tuns 13 x 20 - 0</t>
  </si>
  <si>
    <t>Tuns 12 x 20 - 0</t>
  </si>
  <si>
    <t>Tuns 11 x 20 - 0</t>
  </si>
  <si>
    <t>Baktuns 12 x 20 - 2</t>
  </si>
  <si>
    <t>Baktuns 11 x 20 - 2</t>
  </si>
  <si>
    <t>Baktuns 10 x 20 - 2</t>
  </si>
  <si>
    <t>Baktuns 9 x 20 - 2</t>
  </si>
  <si>
    <t>Baktuns 8 x 20 - 2</t>
  </si>
  <si>
    <t>Baktuns 7 x 20 - 2</t>
  </si>
  <si>
    <t>Baktuns 6 x 20 - 2</t>
  </si>
  <si>
    <t>Baktuns 5 x 20 - 2</t>
  </si>
  <si>
    <t>Baktuns 4 x 20 - 2</t>
  </si>
  <si>
    <t>Baktuns 3 x 20 - 2</t>
  </si>
  <si>
    <t>Baktuns 2 x 20 - 2</t>
  </si>
  <si>
    <t>Baktuns 1 x 20 - 2</t>
  </si>
  <si>
    <t>Tuns 10 x 20 - 0</t>
  </si>
  <si>
    <t>Tuns 9 x 20 - 0</t>
  </si>
  <si>
    <t>Tuns 8 x 20 - 0</t>
  </si>
  <si>
    <t>Tuns 7 x 20 - 0</t>
  </si>
  <si>
    <t>Tuns 6 x 20 - 0</t>
  </si>
  <si>
    <t>Tuns 5 x 20 - 0</t>
  </si>
  <si>
    <t>Tuns 4 x 20 - 0</t>
  </si>
  <si>
    <t>Tuns 3 x 20 - 0</t>
  </si>
  <si>
    <t>Tuns 2 x 20 - 0</t>
  </si>
  <si>
    <t>Tuns 1 x 20 - 0</t>
  </si>
  <si>
    <t>Piktuns 12 x 20 - 3</t>
  </si>
  <si>
    <t>Piktuns 11 x 20 - 3</t>
  </si>
  <si>
    <t>Piktuns 10 x 20 - 3</t>
  </si>
  <si>
    <t>Piktuns 9 x 20 - 3</t>
  </si>
  <si>
    <t>Piktuns 8 x 20 - 3</t>
  </si>
  <si>
    <t>Piktuns 7 x 20 - 3</t>
  </si>
  <si>
    <t>Piktuns 6 x 20 - 3</t>
  </si>
  <si>
    <t>Piktuns 5 x 20 - 3</t>
  </si>
  <si>
    <t>Piktuns 4 x 20 - 3</t>
  </si>
  <si>
    <t>Piktuns 3 x 20 - 3</t>
  </si>
  <si>
    <t>Piktuns 2 x 20 - 3</t>
  </si>
  <si>
    <t>Piktuns 1 x 20 - 3</t>
  </si>
  <si>
    <t>Kalabtuns 12 x 20 - 4</t>
  </si>
  <si>
    <t>Kalabtuns 11 x 20 - 4</t>
  </si>
  <si>
    <t>Kalabtuns 10 x 20 - 4</t>
  </si>
  <si>
    <t>Kalabtuns 9 x 20 - 4</t>
  </si>
  <si>
    <t>Kalabtuns 8 x 20 - 4</t>
  </si>
  <si>
    <t>Kalabtuns 7 x 20 - 4</t>
  </si>
  <si>
    <t>Kalabtuns 6 x 20 - 4</t>
  </si>
  <si>
    <t>Kalabtuns 5 x 20 - 4</t>
  </si>
  <si>
    <t>Kalabtuns 4 x 20 - 4</t>
  </si>
  <si>
    <t>Kalabtuns 3 x 20 - 4</t>
  </si>
  <si>
    <t>Kalabtuns 2 x 20 - 4</t>
  </si>
  <si>
    <t>Kalabtuns 1 x 20 - 4</t>
  </si>
  <si>
    <t>Kinchiltuns 12 x 20 - 5</t>
  </si>
  <si>
    <t>Kinchiltuns 11 x 20 - 5</t>
  </si>
  <si>
    <t>Kinchiltuns 10 x 20 - 5</t>
  </si>
  <si>
    <t>Kinchiltuns 9 x 20 - 5</t>
  </si>
  <si>
    <t>Kinchiltuns 8 x 20 - 5</t>
  </si>
  <si>
    <t>Kinchiltuns 7 x 20 - 5</t>
  </si>
  <si>
    <t>Kinchiltuns 6 x 20 - 5</t>
  </si>
  <si>
    <t>Kinchiltuns 5 x 20 - 5</t>
  </si>
  <si>
    <t>Kinchiltuns 4 x 20 - 5</t>
  </si>
  <si>
    <t>Kinchiltuns 3 x 20 - 5</t>
  </si>
  <si>
    <t>Kinchiltuns 2 x 20 - 5</t>
  </si>
  <si>
    <t>Kinchiltuns 1 x 20 - 5</t>
  </si>
  <si>
    <t>Alautuns 12 x 20 - 6</t>
  </si>
  <si>
    <t>Alautuns 11 x 20 - 6</t>
  </si>
  <si>
    <t>Alautuns 10 x 20 - 6</t>
  </si>
  <si>
    <t>Alautuns 9 x 20 - 6</t>
  </si>
  <si>
    <t>Alautuns 8 x 20 - 6</t>
  </si>
  <si>
    <t>Alautuns 7 x 20 - 6</t>
  </si>
  <si>
    <t>Alautuns 6 x 20 - 6</t>
  </si>
  <si>
    <t>Alautuns 5 x 20 - 6</t>
  </si>
  <si>
    <t>Alautuns 4 x 20 - 6</t>
  </si>
  <si>
    <t>Alautuns 3 x 20 - 6</t>
  </si>
  <si>
    <t>Alautuns 2 x 20 - 6</t>
  </si>
  <si>
    <t>Alautuns 1 x 20 - 6</t>
  </si>
  <si>
    <t>JAAR</t>
  </si>
  <si>
    <t>MAAND</t>
  </si>
  <si>
    <t>DAG</t>
  </si>
  <si>
    <t>Kins 13 x 20</t>
  </si>
  <si>
    <t>Kins 12 x 20</t>
  </si>
  <si>
    <t>Kins 11 x 20</t>
  </si>
  <si>
    <t>Kins 10 x 20</t>
  </si>
  <si>
    <t>Kins 9 x 20</t>
  </si>
  <si>
    <t>Kins 8 x 20</t>
  </si>
  <si>
    <t>Kins 7 x 20</t>
  </si>
  <si>
    <t>Kins 6 x 20</t>
  </si>
  <si>
    <t>Kins 5 x 20</t>
  </si>
  <si>
    <t>Kins 4 x 20</t>
  </si>
  <si>
    <t>Kins 3 x 20</t>
  </si>
  <si>
    <t>Kins 2 x 20</t>
  </si>
  <si>
    <t>Kins 1 x 20</t>
  </si>
  <si>
    <t>c</t>
  </si>
  <si>
    <t>Mee scheppen</t>
  </si>
  <si>
    <t>Versch. / Overeenk.</t>
  </si>
  <si>
    <t>Stim. / Indiv. / Respons</t>
  </si>
  <si>
    <t>Stimuleren / Respons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</si>
</sst>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8" formatCode="m/d/yyyy;@"/>
    <numFmt numFmtId="171" formatCode="#,##0.0"/>
    <numFmt numFmtId="172" formatCode="#,##0.000"/>
    <numFmt numFmtId="173" formatCode="#,##0.0000"/>
    <numFmt numFmtId="174" formatCode="#,##0.00000"/>
    <numFmt numFmtId="176" formatCode="#,##0.00000000"/>
  </numFmts>
  <fonts count="53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rgb="FF0000FF"/>
      <name val="Arial Black"/>
      <family val="2"/>
    </font>
    <font>
      <sz val="48"/>
      <color rgb="FF0000FF"/>
      <name val="Arial Black"/>
      <family val="2"/>
    </font>
    <font>
      <sz val="14"/>
      <color rgb="FF0000FF"/>
      <name val="Arial Black"/>
      <family val="2"/>
    </font>
    <font>
      <sz val="16"/>
      <color rgb="FF0000FF"/>
      <name val="Arial Black"/>
      <family val="2"/>
    </font>
    <font>
      <sz val="10"/>
      <color rgb="FF0000FF"/>
      <name val="Arial Black"/>
      <family val="2"/>
    </font>
    <font>
      <sz val="24"/>
      <color rgb="FF0000FF"/>
      <name val="Arial Black"/>
      <family val="2"/>
    </font>
    <font>
      <sz val="18"/>
      <color rgb="FF0000FF"/>
      <name val="Arial Black"/>
      <family val="2"/>
    </font>
    <font>
      <sz val="12"/>
      <color rgb="FF0000FF"/>
      <name val="Arial Black"/>
      <family val="2"/>
    </font>
    <font>
      <sz val="48"/>
      <color theme="1"/>
      <name val="Arial Black"/>
      <family val="2"/>
    </font>
    <font>
      <sz val="36"/>
      <color theme="1"/>
      <name val="Arial Black"/>
      <family val="2"/>
    </font>
    <font>
      <sz val="10"/>
      <color theme="1"/>
      <name val="Arial Black"/>
      <family val="2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sz val="8"/>
      <color theme="1"/>
      <name val="Arial Black"/>
      <family val="2"/>
    </font>
    <font>
      <sz val="20"/>
      <color rgb="FF00CC00"/>
      <name val="Arial Black"/>
      <family val="2"/>
    </font>
    <font>
      <sz val="18"/>
      <color rgb="FF00CC00"/>
      <name val="Arial Black"/>
      <family val="2"/>
    </font>
    <font>
      <sz val="11"/>
      <color rgb="FF00CC00"/>
      <name val="Arial Black"/>
      <family val="2"/>
    </font>
    <font>
      <sz val="10"/>
      <color rgb="FF00CC00"/>
      <name val="Arial Black"/>
      <family val="2"/>
    </font>
    <font>
      <sz val="11"/>
      <color rgb="FFFF0000"/>
      <name val="Arial Black"/>
      <family val="2"/>
    </font>
    <font>
      <sz val="12"/>
      <color rgb="FFFF0000"/>
      <name val="Arial Black"/>
      <family val="2"/>
    </font>
    <font>
      <sz val="16"/>
      <color rgb="FFFF0000"/>
      <name val="Arial Black"/>
      <family val="2"/>
    </font>
    <font>
      <sz val="14"/>
      <color rgb="FFFF0000"/>
      <name val="Arial Black"/>
      <family val="2"/>
    </font>
    <font>
      <sz val="18"/>
      <color rgb="FFFF0000"/>
      <name val="Arial Black"/>
      <family val="2"/>
    </font>
    <font>
      <sz val="40"/>
      <color theme="1"/>
      <name val="Arial Black"/>
      <family val="2"/>
    </font>
    <font>
      <sz val="10"/>
      <color rgb="FFFF0000"/>
      <name val="Arial Black"/>
      <family val="2"/>
    </font>
    <font>
      <sz val="8"/>
      <color rgb="FFFF0000"/>
      <name val="Arial Black"/>
      <family val="2"/>
    </font>
    <font>
      <sz val="28"/>
      <color rgb="FFFF0000"/>
      <name val="Arial Black"/>
      <family val="2"/>
    </font>
    <font>
      <sz val="10"/>
      <color rgb="FF9900FF"/>
      <name val="Arial Black"/>
      <family val="2"/>
    </font>
    <font>
      <sz val="12"/>
      <color rgb="FF9900FF"/>
      <name val="Arial Black"/>
      <family val="2"/>
    </font>
    <font>
      <sz val="22"/>
      <color rgb="FF9900FF"/>
      <name val="Arial Black"/>
      <family val="2"/>
    </font>
    <font>
      <sz val="36"/>
      <color rgb="FF9900FF"/>
      <name val="Arial Black"/>
      <family val="2"/>
    </font>
    <font>
      <sz val="9"/>
      <color rgb="FF9900FF"/>
      <name val="Arial Black"/>
      <family val="2"/>
    </font>
    <font>
      <sz val="16"/>
      <color rgb="FF9900FF"/>
      <name val="Arial Black"/>
      <family val="2"/>
    </font>
    <font>
      <u/>
      <sz val="11"/>
      <color theme="10"/>
      <name val="Calibri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 Black"/>
      <family val="2"/>
    </font>
    <font>
      <sz val="8"/>
      <color rgb="FF9900FF"/>
      <name val="Arial Black"/>
      <family val="2"/>
    </font>
    <font>
      <b/>
      <sz val="8"/>
      <color rgb="FF9900FF"/>
      <name val="Arial"/>
      <family val="2"/>
    </font>
    <font>
      <sz val="8"/>
      <color rgb="FF9900FF"/>
      <name val="Arial"/>
      <family val="2"/>
    </font>
    <font>
      <sz val="15"/>
      <color rgb="FF0000FF"/>
      <name val="Arial Black"/>
      <family val="2"/>
    </font>
    <font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sz val="11"/>
      <color rgb="FF9900FF"/>
      <name val="Arial Black"/>
      <family val="2"/>
    </font>
    <font>
      <sz val="9"/>
      <color rgb="FF00CC00"/>
      <name val="Arial Black"/>
      <family val="2"/>
    </font>
    <font>
      <sz val="20"/>
      <color theme="1"/>
      <name val="Arial Black"/>
      <family val="2"/>
    </font>
    <font>
      <sz val="13"/>
      <color theme="1"/>
      <name val="Arial Black"/>
      <family val="2"/>
    </font>
    <font>
      <b/>
      <sz val="12"/>
      <color rgb="FF0000FF"/>
      <name val="Arial Narrow"/>
      <family val="2"/>
    </font>
    <font>
      <b/>
      <sz val="9"/>
      <color rgb="FF0000FF"/>
      <name val="Arial Narrow"/>
      <family val="2"/>
    </font>
    <font>
      <b/>
      <sz val="10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/>
      <top/>
      <bottom style="thick">
        <color theme="1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theme="1"/>
      </left>
      <right/>
      <top/>
      <bottom style="thick">
        <color rgb="FF0000FF"/>
      </bottom>
      <diagonal/>
    </border>
    <border>
      <left/>
      <right style="thick">
        <color theme="1"/>
      </right>
      <top/>
      <bottom style="thick">
        <color rgb="FF0000FF"/>
      </bottom>
      <diagonal/>
    </border>
    <border>
      <left/>
      <right/>
      <top style="thick">
        <color rgb="FF00CC00"/>
      </top>
      <bottom/>
      <diagonal/>
    </border>
    <border>
      <left/>
      <right style="thick">
        <color rgb="FF00CC00"/>
      </right>
      <top style="thick">
        <color rgb="FF00CC00"/>
      </top>
      <bottom/>
      <diagonal/>
    </border>
    <border>
      <left style="thick">
        <color rgb="FF00CC00"/>
      </left>
      <right/>
      <top/>
      <bottom/>
      <diagonal/>
    </border>
    <border>
      <left/>
      <right style="thick">
        <color rgb="FF00CC00"/>
      </right>
      <top/>
      <bottom/>
      <diagonal/>
    </border>
    <border>
      <left/>
      <right/>
      <top/>
      <bottom style="thick">
        <color rgb="FF00CC00"/>
      </bottom>
      <diagonal/>
    </border>
    <border>
      <left/>
      <right style="thick">
        <color rgb="FF00CC00"/>
      </right>
      <top/>
      <bottom style="thick">
        <color rgb="FF00CC00"/>
      </bottom>
      <diagonal/>
    </border>
    <border>
      <left style="thick">
        <color rgb="FF00CC00"/>
      </left>
      <right/>
      <top style="thick">
        <color theme="1"/>
      </top>
      <bottom/>
      <diagonal/>
    </border>
    <border>
      <left style="thick">
        <color rgb="FF00CC00"/>
      </left>
      <right/>
      <top/>
      <bottom style="thick">
        <color theme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theme="1"/>
      </top>
      <bottom/>
      <diagonal/>
    </border>
    <border>
      <left/>
      <right style="thick">
        <color rgb="FFFF0000"/>
      </right>
      <top/>
      <bottom style="thick">
        <color theme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rgb="FF9900FF"/>
      </right>
      <top/>
      <bottom/>
      <diagonal/>
    </border>
    <border>
      <left style="thick">
        <color rgb="FF0000FF"/>
      </left>
      <right/>
      <top style="thick">
        <color auto="1"/>
      </top>
      <bottom/>
      <diagonal/>
    </border>
    <border>
      <left/>
      <right style="thick">
        <color rgb="FF0000FF"/>
      </right>
      <top style="thick">
        <color auto="1"/>
      </top>
      <bottom/>
      <diagonal/>
    </border>
    <border>
      <left/>
      <right style="thick">
        <color rgb="FF9900FF"/>
      </right>
      <top style="thick">
        <color auto="1"/>
      </top>
      <bottom/>
      <diagonal/>
    </border>
    <border>
      <left style="thick">
        <color rgb="FF0000FF"/>
      </left>
      <right/>
      <top/>
      <bottom style="thick">
        <color auto="1"/>
      </bottom>
      <diagonal/>
    </border>
    <border>
      <left/>
      <right style="thick">
        <color rgb="FF0000FF"/>
      </right>
      <top/>
      <bottom style="thick">
        <color auto="1"/>
      </bottom>
      <diagonal/>
    </border>
    <border>
      <left/>
      <right style="thick">
        <color rgb="FF9900FF"/>
      </right>
      <top/>
      <bottom style="thick">
        <color auto="1"/>
      </bottom>
      <diagonal/>
    </border>
    <border>
      <left style="thick">
        <color rgb="FF9900FF"/>
      </left>
      <right/>
      <top/>
      <bottom/>
      <diagonal/>
    </border>
    <border>
      <left style="thick">
        <color rgb="FF9900FF"/>
      </left>
      <right/>
      <top/>
      <bottom style="thick">
        <color auto="1"/>
      </bottom>
      <diagonal/>
    </border>
    <border>
      <left style="thick">
        <color theme="1"/>
      </left>
      <right/>
      <top style="thick">
        <color auto="1"/>
      </top>
      <bottom/>
      <diagonal/>
    </border>
    <border>
      <left/>
      <right style="thick">
        <color theme="1"/>
      </right>
      <top style="thick">
        <color auto="1"/>
      </top>
      <bottom/>
      <diagonal/>
    </border>
  </borders>
  <cellStyleXfs count="3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43" fontId="44" fillId="0" borderId="0" applyFont="0" applyFill="0" applyBorder="0" applyAlignment="0" applyProtection="0"/>
  </cellStyleXfs>
  <cellXfs count="419">
    <xf numFmtId="0" fontId="0" fillId="0" borderId="0" xfId="0"/>
    <xf numFmtId="0" fontId="1" fillId="0" borderId="8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1" fillId="0" borderId="9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1" fillId="0" borderId="34" xfId="0" applyFont="1" applyBorder="1" applyAlignment="1">
      <alignment horizontal="justify" vertical="justify"/>
    </xf>
    <xf numFmtId="0" fontId="1" fillId="0" borderId="35" xfId="0" applyFont="1" applyBorder="1" applyAlignment="1">
      <alignment horizontal="justify" vertical="justify"/>
    </xf>
    <xf numFmtId="0" fontId="1" fillId="0" borderId="36" xfId="0" applyFont="1" applyBorder="1" applyAlignment="1">
      <alignment horizontal="justify" vertical="justify"/>
    </xf>
    <xf numFmtId="0" fontId="1" fillId="0" borderId="37" xfId="0" applyFont="1" applyBorder="1" applyAlignment="1">
      <alignment horizontal="justify" vertical="justify"/>
    </xf>
    <xf numFmtId="0" fontId="1" fillId="0" borderId="38" xfId="0" applyFont="1" applyBorder="1" applyAlignment="1">
      <alignment horizontal="justify" vertical="justify"/>
    </xf>
    <xf numFmtId="0" fontId="1" fillId="0" borderId="39" xfId="0" applyFont="1" applyBorder="1" applyAlignment="1">
      <alignment horizontal="justify" vertical="justify"/>
    </xf>
    <xf numFmtId="0" fontId="1" fillId="0" borderId="41" xfId="0" applyFont="1" applyBorder="1" applyAlignment="1">
      <alignment horizontal="justify" vertical="justify"/>
    </xf>
    <xf numFmtId="0" fontId="1" fillId="0" borderId="42" xfId="0" applyFont="1" applyBorder="1" applyAlignment="1">
      <alignment horizontal="justify" vertical="justify"/>
    </xf>
    <xf numFmtId="0" fontId="1" fillId="0" borderId="43" xfId="0" applyFont="1" applyBorder="1" applyAlignment="1">
      <alignment horizontal="justify" vertical="justify"/>
    </xf>
    <xf numFmtId="0" fontId="1" fillId="0" borderId="44" xfId="0" applyFont="1" applyBorder="1" applyAlignment="1">
      <alignment horizontal="justify" vertical="justify"/>
    </xf>
    <xf numFmtId="0" fontId="1" fillId="0" borderId="45" xfId="0" applyFont="1" applyBorder="1" applyAlignment="1">
      <alignment horizontal="justify" vertical="justify"/>
    </xf>
    <xf numFmtId="0" fontId="1" fillId="0" borderId="46" xfId="0" applyFont="1" applyBorder="1" applyAlignment="1">
      <alignment horizontal="justify" vertical="justify"/>
    </xf>
    <xf numFmtId="0" fontId="1" fillId="0" borderId="47" xfId="0" applyFont="1" applyBorder="1" applyAlignment="1">
      <alignment horizontal="justify" vertical="justify"/>
    </xf>
    <xf numFmtId="0" fontId="11" fillId="0" borderId="3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26" fillId="0" borderId="34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6" fillId="0" borderId="3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4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26" fillId="0" borderId="35" xfId="0" applyFont="1" applyBorder="1" applyAlignment="1">
      <alignment vertical="top"/>
    </xf>
    <xf numFmtId="0" fontId="26" fillId="0" borderId="37" xfId="0" applyFont="1" applyBorder="1" applyAlignment="1">
      <alignment vertical="top"/>
    </xf>
    <xf numFmtId="0" fontId="11" fillId="0" borderId="3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6" fillId="0" borderId="35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5" fillId="0" borderId="33" xfId="0" applyFont="1" applyBorder="1" applyAlignment="1">
      <alignment vertical="center"/>
    </xf>
    <xf numFmtId="0" fontId="2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41" fillId="0" borderId="36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4" fillId="0" borderId="34" xfId="1" applyFont="1" applyBorder="1" applyAlignment="1" applyProtection="1">
      <alignment horizontal="right" vertical="top" wrapText="1"/>
    </xf>
    <xf numFmtId="0" fontId="4" fillId="0" borderId="35" xfId="1" applyFont="1" applyBorder="1" applyAlignment="1" applyProtection="1">
      <alignment horizontal="right" vertical="top" wrapText="1"/>
    </xf>
    <xf numFmtId="0" fontId="4" fillId="0" borderId="0" xfId="1" applyFont="1" applyBorder="1" applyAlignment="1" applyProtection="1">
      <alignment horizontal="right" vertical="top" wrapText="1"/>
    </xf>
    <xf numFmtId="0" fontId="4" fillId="0" borderId="37" xfId="1" applyFont="1" applyBorder="1" applyAlignment="1" applyProtection="1">
      <alignment horizontal="right" vertical="top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37" xfId="0" applyFont="1" applyBorder="1" applyAlignment="1">
      <alignment horizontal="right" vertical="top" wrapText="1"/>
    </xf>
    <xf numFmtId="0" fontId="9" fillId="0" borderId="4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top"/>
    </xf>
    <xf numFmtId="0" fontId="26" fillId="0" borderId="34" xfId="0" applyFont="1" applyBorder="1" applyAlignment="1">
      <alignment horizontal="left" vertical="top"/>
    </xf>
    <xf numFmtId="0" fontId="26" fillId="0" borderId="36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right" vertical="top"/>
    </xf>
    <xf numFmtId="0" fontId="4" fillId="0" borderId="35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37" xfId="0" applyFont="1" applyBorder="1" applyAlignment="1">
      <alignment horizontal="right" vertical="top"/>
    </xf>
    <xf numFmtId="0" fontId="26" fillId="0" borderId="43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24" fillId="0" borderId="48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justify"/>
    </xf>
    <xf numFmtId="0" fontId="1" fillId="2" borderId="0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justify"/>
    </xf>
    <xf numFmtId="0" fontId="1" fillId="2" borderId="13" xfId="0" applyFont="1" applyFill="1" applyBorder="1" applyAlignment="1">
      <alignment horizontal="center" vertical="justify"/>
    </xf>
    <xf numFmtId="0" fontId="1" fillId="2" borderId="11" xfId="0" applyFont="1" applyFill="1" applyBorder="1" applyAlignment="1">
      <alignment horizontal="center" vertical="justify"/>
    </xf>
    <xf numFmtId="0" fontId="1" fillId="2" borderId="14" xfId="0" applyFont="1" applyFill="1" applyBorder="1" applyAlignment="1">
      <alignment horizontal="center" vertical="justify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1" fillId="0" borderId="36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37" xfId="0" applyFont="1" applyBorder="1" applyAlignment="1">
      <alignment vertical="center"/>
    </xf>
    <xf numFmtId="0" fontId="42" fillId="0" borderId="36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37" xfId="0" applyFont="1" applyBorder="1" applyAlignment="1">
      <alignment horizontal="left" vertical="center" wrapText="1"/>
    </xf>
    <xf numFmtId="0" fontId="41" fillId="0" borderId="36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0" borderId="37" xfId="0" applyFont="1" applyBorder="1" applyAlignment="1">
      <alignment horizontal="left" vertical="center" wrapText="1"/>
    </xf>
    <xf numFmtId="0" fontId="34" fillId="0" borderId="3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3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 vertical="center"/>
    </xf>
    <xf numFmtId="3" fontId="23" fillId="0" borderId="37" xfId="0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3" fontId="25" fillId="0" borderId="3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right" vertical="center"/>
    </xf>
    <xf numFmtId="3" fontId="24" fillId="0" borderId="3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3" fontId="22" fillId="0" borderId="0" xfId="0" applyNumberFormat="1" applyFont="1" applyBorder="1" applyAlignment="1">
      <alignment horizontal="right" vertical="center"/>
    </xf>
    <xf numFmtId="3" fontId="22" fillId="0" borderId="37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3" fontId="21" fillId="0" borderId="37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3" fontId="27" fillId="0" borderId="37" xfId="0" applyNumberFormat="1" applyFont="1" applyBorder="1" applyAlignment="1">
      <alignment horizontal="right" vertical="center"/>
    </xf>
    <xf numFmtId="0" fontId="43" fillId="0" borderId="33" xfId="0" applyFont="1" applyBorder="1" applyAlignment="1">
      <alignment vertical="center" wrapText="1"/>
    </xf>
    <xf numFmtId="0" fontId="43" fillId="0" borderId="34" xfId="0" applyFont="1" applyBorder="1" applyAlignment="1">
      <alignment vertical="center" wrapText="1"/>
    </xf>
    <xf numFmtId="0" fontId="43" fillId="0" borderId="35" xfId="0" applyFont="1" applyBorder="1" applyAlignment="1">
      <alignment vertical="center" wrapText="1"/>
    </xf>
    <xf numFmtId="3" fontId="39" fillId="0" borderId="0" xfId="0" applyNumberFormat="1" applyFont="1" applyBorder="1" applyAlignment="1">
      <alignment horizontal="right" vertical="center"/>
    </xf>
    <xf numFmtId="3" fontId="39" fillId="0" borderId="37" xfId="0" applyNumberFormat="1" applyFont="1" applyBorder="1" applyAlignment="1">
      <alignment horizontal="right" vertical="center"/>
    </xf>
    <xf numFmtId="3" fontId="37" fillId="0" borderId="0" xfId="0" applyNumberFormat="1" applyFont="1" applyBorder="1" applyAlignment="1">
      <alignment horizontal="right" vertical="center"/>
    </xf>
    <xf numFmtId="3" fontId="37" fillId="0" borderId="3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3" fontId="38" fillId="0" borderId="0" xfId="0" applyNumberFormat="1" applyFont="1" applyBorder="1" applyAlignment="1">
      <alignment horizontal="right" vertical="center"/>
    </xf>
    <xf numFmtId="3" fontId="38" fillId="0" borderId="37" xfId="0" applyNumberFormat="1" applyFont="1" applyBorder="1" applyAlignment="1">
      <alignment horizontal="right" vertical="center"/>
    </xf>
    <xf numFmtId="3" fontId="38" fillId="0" borderId="0" xfId="0" applyNumberFormat="1" applyFont="1" applyBorder="1" applyAlignment="1">
      <alignment vertical="center"/>
    </xf>
    <xf numFmtId="3" fontId="38" fillId="0" borderId="37" xfId="0" applyNumberFormat="1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37" xfId="0" applyFont="1" applyBorder="1" applyAlignment="1">
      <alignment horizontal="right" vertical="center"/>
    </xf>
    <xf numFmtId="14" fontId="13" fillId="0" borderId="36" xfId="0" applyNumberFormat="1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left" vertical="center"/>
    </xf>
    <xf numFmtId="14" fontId="13" fillId="0" borderId="37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36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37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24" fillId="0" borderId="37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left" wrapText="1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14" fontId="1" fillId="0" borderId="0" xfId="0" applyNumberFormat="1" applyFont="1" applyAlignment="1">
      <alignment vertical="justify"/>
    </xf>
    <xf numFmtId="0" fontId="1" fillId="0" borderId="0" xfId="0" applyFont="1" applyAlignment="1">
      <alignment vertical="justify"/>
    </xf>
    <xf numFmtId="1" fontId="14" fillId="0" borderId="36" xfId="0" applyNumberFormat="1" applyFont="1" applyBorder="1" applyAlignment="1">
      <alignment horizontal="left" vertical="center"/>
    </xf>
    <xf numFmtId="1" fontId="14" fillId="0" borderId="0" xfId="0" applyNumberFormat="1" applyFont="1" applyBorder="1" applyAlignment="1">
      <alignment horizontal="left" vertical="center"/>
    </xf>
    <xf numFmtId="1" fontId="14" fillId="0" borderId="37" xfId="0" applyNumberFormat="1" applyFont="1" applyBorder="1" applyAlignment="1">
      <alignment horizontal="left" vertical="center"/>
    </xf>
    <xf numFmtId="1" fontId="48" fillId="0" borderId="36" xfId="0" applyNumberFormat="1" applyFont="1" applyBorder="1" applyAlignment="1">
      <alignment horizontal="left" vertical="center"/>
    </xf>
    <xf numFmtId="1" fontId="48" fillId="0" borderId="0" xfId="0" applyNumberFormat="1" applyFont="1" applyBorder="1" applyAlignment="1">
      <alignment horizontal="left" vertical="center"/>
    </xf>
    <xf numFmtId="1" fontId="48" fillId="0" borderId="37" xfId="0" applyNumberFormat="1" applyFont="1" applyBorder="1" applyAlignment="1">
      <alignment horizontal="left" vertical="center"/>
    </xf>
    <xf numFmtId="14" fontId="14" fillId="0" borderId="36" xfId="0" applyNumberFormat="1" applyFont="1" applyBorder="1" applyAlignment="1">
      <alignment horizontal="left" vertical="center"/>
    </xf>
    <xf numFmtId="14" fontId="14" fillId="0" borderId="0" xfId="0" applyNumberFormat="1" applyFont="1" applyBorder="1" applyAlignment="1">
      <alignment horizontal="left" vertical="center"/>
    </xf>
    <xf numFmtId="14" fontId="14" fillId="0" borderId="37" xfId="0" applyNumberFormat="1" applyFont="1" applyBorder="1" applyAlignment="1">
      <alignment horizontal="left" vertical="center"/>
    </xf>
    <xf numFmtId="168" fontId="14" fillId="0" borderId="36" xfId="0" applyNumberFormat="1" applyFont="1" applyBorder="1" applyAlignment="1">
      <alignment horizontal="left" vertical="center"/>
    </xf>
    <xf numFmtId="168" fontId="14" fillId="0" borderId="0" xfId="0" applyNumberFormat="1" applyFont="1" applyBorder="1" applyAlignment="1">
      <alignment horizontal="left" vertical="center"/>
    </xf>
    <xf numFmtId="168" fontId="14" fillId="0" borderId="37" xfId="0" applyNumberFormat="1" applyFont="1" applyBorder="1" applyAlignment="1">
      <alignment horizontal="left" vertical="center"/>
    </xf>
    <xf numFmtId="14" fontId="49" fillId="0" borderId="36" xfId="0" applyNumberFormat="1" applyFont="1" applyBorder="1" applyAlignment="1">
      <alignment horizontal="left" vertical="center"/>
    </xf>
    <xf numFmtId="14" fontId="49" fillId="0" borderId="0" xfId="0" applyNumberFormat="1" applyFont="1" applyBorder="1" applyAlignment="1">
      <alignment horizontal="left" vertical="center"/>
    </xf>
    <xf numFmtId="14" fontId="49" fillId="0" borderId="37" xfId="0" applyNumberFormat="1" applyFont="1" applyBorder="1" applyAlignment="1">
      <alignment horizontal="left" vertical="center"/>
    </xf>
    <xf numFmtId="3" fontId="13" fillId="0" borderId="36" xfId="0" applyNumberFormat="1" applyFont="1" applyBorder="1" applyAlignment="1">
      <alignment horizontal="left" vertical="center"/>
    </xf>
    <xf numFmtId="3" fontId="13" fillId="0" borderId="0" xfId="0" applyNumberFormat="1" applyFont="1" applyBorder="1" applyAlignment="1">
      <alignment horizontal="left" vertical="center"/>
    </xf>
    <xf numFmtId="3" fontId="13" fillId="0" borderId="37" xfId="0" applyNumberFormat="1" applyFont="1" applyBorder="1" applyAlignment="1">
      <alignment horizontal="left" vertical="center"/>
    </xf>
    <xf numFmtId="3" fontId="45" fillId="0" borderId="36" xfId="0" applyNumberFormat="1" applyFont="1" applyBorder="1" applyAlignment="1">
      <alignment horizontal="left" vertical="center"/>
    </xf>
    <xf numFmtId="3" fontId="45" fillId="0" borderId="0" xfId="0" applyNumberFormat="1" applyFont="1" applyBorder="1" applyAlignment="1">
      <alignment horizontal="left" vertical="center"/>
    </xf>
    <xf numFmtId="3" fontId="45" fillId="0" borderId="37" xfId="0" applyNumberFormat="1" applyFont="1" applyBorder="1" applyAlignment="1">
      <alignment horizontal="left" vertical="center"/>
    </xf>
    <xf numFmtId="3" fontId="15" fillId="0" borderId="36" xfId="0" applyNumberFormat="1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/>
    </xf>
    <xf numFmtId="3" fontId="15" fillId="0" borderId="37" xfId="0" applyNumberFormat="1" applyFont="1" applyBorder="1" applyAlignment="1">
      <alignment horizontal="left" vertical="center"/>
    </xf>
    <xf numFmtId="3" fontId="1" fillId="0" borderId="36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/>
    </xf>
    <xf numFmtId="3" fontId="1" fillId="0" borderId="37" xfId="0" applyNumberFormat="1" applyFont="1" applyBorder="1" applyAlignment="1">
      <alignment horizontal="left" vertical="center"/>
    </xf>
    <xf numFmtId="3" fontId="20" fillId="0" borderId="38" xfId="0" applyNumberFormat="1" applyFont="1" applyBorder="1" applyAlignment="1">
      <alignment horizontal="center" vertical="center" wrapText="1"/>
    </xf>
    <xf numFmtId="3" fontId="20" fillId="0" borderId="39" xfId="0" applyNumberFormat="1" applyFont="1" applyBorder="1" applyAlignment="1">
      <alignment horizontal="center" vertical="center" wrapText="1"/>
    </xf>
    <xf numFmtId="3" fontId="20" fillId="0" borderId="40" xfId="0" applyNumberFormat="1" applyFont="1" applyBorder="1" applyAlignment="1">
      <alignment horizontal="center" vertical="center" wrapText="1"/>
    </xf>
    <xf numFmtId="3" fontId="47" fillId="0" borderId="38" xfId="0" applyNumberFormat="1" applyFont="1" applyBorder="1" applyAlignment="1">
      <alignment horizontal="center" vertical="center" wrapText="1"/>
    </xf>
    <xf numFmtId="3" fontId="47" fillId="0" borderId="39" xfId="0" applyNumberFormat="1" applyFont="1" applyBorder="1" applyAlignment="1">
      <alignment horizontal="center" vertical="center" wrapText="1"/>
    </xf>
    <xf numFmtId="3" fontId="47" fillId="0" borderId="40" xfId="0" applyNumberFormat="1" applyFont="1" applyBorder="1" applyAlignment="1">
      <alignment horizontal="center" vertical="center" wrapText="1"/>
    </xf>
    <xf numFmtId="3" fontId="47" fillId="0" borderId="38" xfId="2" applyNumberFormat="1" applyFont="1" applyBorder="1" applyAlignment="1">
      <alignment horizontal="center" vertical="center" wrapText="1"/>
    </xf>
    <xf numFmtId="3" fontId="47" fillId="0" borderId="39" xfId="2" applyNumberFormat="1" applyFont="1" applyBorder="1" applyAlignment="1">
      <alignment horizontal="center" vertical="center" wrapText="1"/>
    </xf>
    <xf numFmtId="3" fontId="47" fillId="0" borderId="40" xfId="2" applyNumberFormat="1" applyFont="1" applyBorder="1" applyAlignment="1">
      <alignment horizontal="center" vertical="center" wrapText="1"/>
    </xf>
    <xf numFmtId="171" fontId="20" fillId="0" borderId="38" xfId="0" applyNumberFormat="1" applyFont="1" applyBorder="1" applyAlignment="1">
      <alignment horizontal="center" vertical="center"/>
    </xf>
    <xf numFmtId="171" fontId="20" fillId="0" borderId="39" xfId="0" applyNumberFormat="1" applyFont="1" applyBorder="1" applyAlignment="1">
      <alignment horizontal="center" vertical="center"/>
    </xf>
    <xf numFmtId="171" fontId="20" fillId="0" borderId="40" xfId="0" applyNumberFormat="1" applyFont="1" applyBorder="1" applyAlignment="1">
      <alignment horizontal="center" vertical="center"/>
    </xf>
    <xf numFmtId="4" fontId="20" fillId="0" borderId="38" xfId="0" applyNumberFormat="1" applyFont="1" applyBorder="1" applyAlignment="1">
      <alignment horizontal="center" vertical="center"/>
    </xf>
    <xf numFmtId="4" fontId="20" fillId="0" borderId="39" xfId="0" applyNumberFormat="1" applyFont="1" applyBorder="1" applyAlignment="1">
      <alignment horizontal="center" vertical="center"/>
    </xf>
    <xf numFmtId="4" fontId="20" fillId="0" borderId="40" xfId="0" applyNumberFormat="1" applyFont="1" applyBorder="1" applyAlignment="1">
      <alignment horizontal="center" vertical="center"/>
    </xf>
    <xf numFmtId="4" fontId="20" fillId="0" borderId="38" xfId="2" applyNumberFormat="1" applyFont="1" applyBorder="1" applyAlignment="1">
      <alignment horizontal="center" vertical="center"/>
    </xf>
    <xf numFmtId="4" fontId="20" fillId="0" borderId="39" xfId="2" applyNumberFormat="1" applyFont="1" applyBorder="1" applyAlignment="1">
      <alignment horizontal="center" vertical="center"/>
    </xf>
    <xf numFmtId="4" fontId="20" fillId="0" borderId="40" xfId="2" applyNumberFormat="1" applyFont="1" applyBorder="1" applyAlignment="1">
      <alignment horizontal="center" vertical="center"/>
    </xf>
    <xf numFmtId="172" fontId="20" fillId="0" borderId="38" xfId="0" applyNumberFormat="1" applyFont="1" applyBorder="1" applyAlignment="1">
      <alignment horizontal="center" vertical="center"/>
    </xf>
    <xf numFmtId="172" fontId="20" fillId="0" borderId="39" xfId="0" applyNumberFormat="1" applyFont="1" applyBorder="1" applyAlignment="1">
      <alignment horizontal="center" vertical="center"/>
    </xf>
    <xf numFmtId="172" fontId="20" fillId="0" borderId="40" xfId="0" applyNumberFormat="1" applyFont="1" applyBorder="1" applyAlignment="1">
      <alignment horizontal="center" vertical="center"/>
    </xf>
    <xf numFmtId="173" fontId="20" fillId="0" borderId="38" xfId="0" applyNumberFormat="1" applyFont="1" applyBorder="1" applyAlignment="1">
      <alignment horizontal="center" vertical="center"/>
    </xf>
    <xf numFmtId="173" fontId="20" fillId="0" borderId="39" xfId="0" applyNumberFormat="1" applyFont="1" applyBorder="1" applyAlignment="1">
      <alignment horizontal="center" vertical="center"/>
    </xf>
    <xf numFmtId="173" fontId="20" fillId="0" borderId="40" xfId="0" applyNumberFormat="1" applyFont="1" applyBorder="1" applyAlignment="1">
      <alignment horizontal="center" vertical="center"/>
    </xf>
    <xf numFmtId="174" fontId="19" fillId="0" borderId="38" xfId="0" applyNumberFormat="1" applyFont="1" applyBorder="1" applyAlignment="1">
      <alignment horizontal="center" vertical="center"/>
    </xf>
    <xf numFmtId="174" fontId="19" fillId="0" borderId="39" xfId="0" applyNumberFormat="1" applyFont="1" applyBorder="1" applyAlignment="1">
      <alignment horizontal="center" vertical="center"/>
    </xf>
    <xf numFmtId="174" fontId="19" fillId="0" borderId="40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176" fontId="20" fillId="0" borderId="40" xfId="0" applyNumberFormat="1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left" vertical="center"/>
    </xf>
    <xf numFmtId="176" fontId="19" fillId="0" borderId="39" xfId="0" applyNumberFormat="1" applyFont="1" applyBorder="1" applyAlignment="1">
      <alignment horizontal="left" vertical="center"/>
    </xf>
    <xf numFmtId="176" fontId="19" fillId="0" borderId="40" xfId="0" applyNumberFormat="1" applyFont="1" applyBorder="1" applyAlignment="1">
      <alignment horizontal="left" vertical="center"/>
    </xf>
    <xf numFmtId="0" fontId="50" fillId="0" borderId="33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</cellXfs>
  <cellStyles count="3">
    <cellStyle name="Hyperlink" xfId="1" builtinId="8"/>
    <cellStyle name="Komma" xfId="2" builtinId="3"/>
    <cellStyle name="Standaard" xfId="0" builtinId="0"/>
  </cellStyles>
  <dxfs count="0"/>
  <tableStyles count="0" defaultTableStyle="TableStyleMedium9" defaultPivotStyle="PivotStyleLight16"/>
  <colors>
    <mruColors>
      <color rgb="FF0000FF"/>
      <color rgb="FF00CC00"/>
      <color rgb="FFFF0000"/>
      <color rgb="FF9900FF"/>
      <color rgb="FFCC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B5" sqref="B5"/>
    </sheetView>
  </sheetViews>
  <sheetFormatPr defaultRowHeight="15"/>
  <cols>
    <col min="14" max="14" width="22.28515625" customWidth="1"/>
  </cols>
  <sheetData/>
  <pageMargins left="0.70866141732283472" right="0.70866141732283472" top="0.74803149606299213" bottom="0.74803149606299213" header="0.31496062992125984" footer="0.31496062992125984"/>
  <pageSetup paperSize="9" scale="61" orientation="portrait" verticalDpi="0" r:id="rId1"/>
  <legacyDrawing r:id="rId2"/>
  <oleObjects>
    <oleObject progId="MSWorks4Sheet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75"/>
  <sheetViews>
    <sheetView workbookViewId="0"/>
  </sheetViews>
  <sheetFormatPr defaultColWidth="3.28515625" defaultRowHeight="20.100000000000001" customHeight="1"/>
  <cols>
    <col min="1" max="16384" width="3.28515625" style="4"/>
  </cols>
  <sheetData>
    <row r="1" spans="81:85" ht="20.100000000000001" customHeight="1">
      <c r="CC1" s="2"/>
      <c r="CD1" s="2"/>
      <c r="CE1" s="2"/>
      <c r="CF1" s="2"/>
      <c r="CG1" s="2"/>
    </row>
    <row r="2" spans="81:85" ht="20.100000000000001" customHeight="1">
      <c r="CC2" s="2"/>
      <c r="CD2" s="2"/>
      <c r="CE2" s="2"/>
      <c r="CF2" s="2"/>
      <c r="CG2" s="2"/>
    </row>
    <row r="3" spans="81:85" ht="20.100000000000001" customHeight="1">
      <c r="CC3" s="2"/>
      <c r="CD3" s="2"/>
      <c r="CE3" s="2"/>
      <c r="CF3" s="2"/>
      <c r="CG3" s="2"/>
    </row>
    <row r="4" spans="81:85" ht="20.100000000000001" customHeight="1">
      <c r="CC4" s="2"/>
      <c r="CD4" s="2"/>
      <c r="CE4" s="2"/>
      <c r="CF4" s="2"/>
      <c r="CG4" s="2"/>
    </row>
    <row r="5" spans="81:85" ht="20.100000000000001" customHeight="1">
      <c r="CC5" s="2"/>
      <c r="CD5" s="2"/>
      <c r="CE5" s="2"/>
      <c r="CF5" s="2"/>
      <c r="CG5" s="2"/>
    </row>
    <row r="19" spans="1:85" ht="20.100000000000001" customHeight="1" thickBot="1"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85" ht="20.100000000000001" customHeight="1" thickTop="1">
      <c r="A20" s="200">
        <v>9</v>
      </c>
      <c r="B20" s="201"/>
      <c r="C20" s="201"/>
      <c r="D20" s="201"/>
      <c r="E20" s="202"/>
      <c r="V20" s="93" t="s">
        <v>30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166"/>
      <c r="AT20" s="12"/>
      <c r="AU20" s="5"/>
      <c r="AV20" s="5"/>
      <c r="AW20" s="5"/>
      <c r="AX20" s="13"/>
      <c r="AY20" s="12"/>
      <c r="AZ20" s="5"/>
      <c r="BA20" s="5"/>
      <c r="BB20" s="5"/>
      <c r="BC20" s="14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  <c r="BS20" s="222" t="s">
        <v>1</v>
      </c>
      <c r="BT20" s="222"/>
      <c r="BU20" s="222"/>
      <c r="BV20" s="222"/>
      <c r="BW20" s="223"/>
      <c r="BX20" s="237">
        <v>9</v>
      </c>
      <c r="BY20" s="238"/>
      <c r="BZ20" s="238"/>
      <c r="CA20" s="238"/>
      <c r="CB20" s="239"/>
      <c r="CC20" s="213" t="s">
        <v>28</v>
      </c>
      <c r="CD20" s="214"/>
      <c r="CE20" s="214"/>
      <c r="CF20" s="214"/>
      <c r="CG20" s="215"/>
    </row>
    <row r="21" spans="1:85" ht="20.100000000000001" customHeight="1">
      <c r="A21" s="203"/>
      <c r="B21" s="204"/>
      <c r="C21" s="204"/>
      <c r="D21" s="204"/>
      <c r="E21" s="205"/>
      <c r="V21" s="95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167"/>
      <c r="AT21" s="1"/>
      <c r="AU21" s="2"/>
      <c r="AV21" s="2"/>
      <c r="AW21" s="2"/>
      <c r="AX21" s="3"/>
      <c r="AY21" s="1"/>
      <c r="AZ21" s="2"/>
      <c r="BA21" s="2"/>
      <c r="BB21" s="2"/>
      <c r="BC21" s="1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8"/>
      <c r="BS21" s="224"/>
      <c r="BT21" s="224"/>
      <c r="BU21" s="224"/>
      <c r="BV21" s="224"/>
      <c r="BW21" s="225"/>
      <c r="BX21" s="240"/>
      <c r="BY21" s="204"/>
      <c r="BZ21" s="204"/>
      <c r="CA21" s="204"/>
      <c r="CB21" s="241"/>
      <c r="CC21" s="216"/>
      <c r="CD21" s="217"/>
      <c r="CE21" s="217"/>
      <c r="CF21" s="217"/>
      <c r="CG21" s="218"/>
    </row>
    <row r="22" spans="1:85" ht="20.100000000000001" customHeight="1">
      <c r="A22" s="203"/>
      <c r="B22" s="204"/>
      <c r="C22" s="204"/>
      <c r="D22" s="204"/>
      <c r="E22" s="205"/>
      <c r="V22" s="95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167"/>
      <c r="AT22" s="1"/>
      <c r="AU22" s="2"/>
      <c r="AV22" s="2"/>
      <c r="AW22" s="2"/>
      <c r="AX22" s="3"/>
      <c r="AY22" s="1"/>
      <c r="AZ22" s="2"/>
      <c r="BA22" s="2"/>
      <c r="BB22" s="2"/>
      <c r="BC22" s="1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8"/>
      <c r="BS22" s="224"/>
      <c r="BT22" s="224"/>
      <c r="BU22" s="224"/>
      <c r="BV22" s="224"/>
      <c r="BW22" s="225"/>
      <c r="BX22" s="240"/>
      <c r="BY22" s="204"/>
      <c r="BZ22" s="204"/>
      <c r="CA22" s="204"/>
      <c r="CB22" s="241"/>
      <c r="CC22" s="216"/>
      <c r="CD22" s="217"/>
      <c r="CE22" s="217"/>
      <c r="CF22" s="217"/>
      <c r="CG22" s="218"/>
    </row>
    <row r="23" spans="1:85" ht="20.100000000000001" customHeight="1">
      <c r="A23" s="203"/>
      <c r="B23" s="204"/>
      <c r="C23" s="204"/>
      <c r="D23" s="204"/>
      <c r="E23" s="205"/>
      <c r="V23" s="7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2"/>
      <c r="AV23" s="2"/>
      <c r="AW23" s="2"/>
      <c r="AX23" s="3"/>
      <c r="AY23" s="1"/>
      <c r="AZ23" s="2"/>
      <c r="BA23" s="2"/>
      <c r="BB23" s="2"/>
      <c r="BC23" s="11"/>
      <c r="BD23" s="192" t="s">
        <v>0</v>
      </c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4"/>
      <c r="BS23" s="224"/>
      <c r="BT23" s="224"/>
      <c r="BU23" s="224"/>
      <c r="BV23" s="224"/>
      <c r="BW23" s="225"/>
      <c r="BX23" s="240"/>
      <c r="BY23" s="204"/>
      <c r="BZ23" s="204"/>
      <c r="CA23" s="204"/>
      <c r="CB23" s="241"/>
      <c r="CC23" s="216"/>
      <c r="CD23" s="217"/>
      <c r="CE23" s="217"/>
      <c r="CF23" s="217"/>
      <c r="CG23" s="218"/>
    </row>
    <row r="24" spans="1:85" ht="20.100000000000001" customHeight="1" thickBot="1">
      <c r="A24" s="206"/>
      <c r="B24" s="207"/>
      <c r="C24" s="207"/>
      <c r="D24" s="207"/>
      <c r="E24" s="208"/>
      <c r="V24" s="9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5"/>
      <c r="AU24" s="10"/>
      <c r="AV24" s="10"/>
      <c r="AW24" s="10"/>
      <c r="AX24" s="16"/>
      <c r="AY24" s="15"/>
      <c r="AZ24" s="10"/>
      <c r="BA24" s="10"/>
      <c r="BB24" s="10"/>
      <c r="BC24" s="17"/>
      <c r="BD24" s="195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7"/>
      <c r="BS24" s="226"/>
      <c r="BT24" s="226"/>
      <c r="BU24" s="226"/>
      <c r="BV24" s="226"/>
      <c r="BW24" s="227"/>
      <c r="BX24" s="242"/>
      <c r="BY24" s="243"/>
      <c r="BZ24" s="243"/>
      <c r="CA24" s="243"/>
      <c r="CB24" s="244"/>
      <c r="CC24" s="219"/>
      <c r="CD24" s="220"/>
      <c r="CE24" s="220"/>
      <c r="CF24" s="220"/>
      <c r="CG24" s="221"/>
    </row>
    <row r="25" spans="1:85" ht="20.100000000000001" customHeight="1" thickTop="1">
      <c r="A25" s="200">
        <v>8</v>
      </c>
      <c r="B25" s="201"/>
      <c r="C25" s="201"/>
      <c r="D25" s="201"/>
      <c r="E25" s="202"/>
      <c r="T25" s="93" t="s">
        <v>29</v>
      </c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166"/>
      <c r="AT25" s="12"/>
      <c r="AU25" s="5"/>
      <c r="AV25" s="5"/>
      <c r="AW25" s="5"/>
      <c r="AX25" s="13"/>
      <c r="AY25" s="56" t="s">
        <v>66</v>
      </c>
      <c r="AZ25" s="57"/>
      <c r="BA25" s="57"/>
      <c r="BB25" s="57"/>
      <c r="BC25" s="58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  <c r="BS25" s="222" t="s">
        <v>3</v>
      </c>
      <c r="BT25" s="222"/>
      <c r="BU25" s="222"/>
      <c r="BV25" s="222"/>
      <c r="BW25" s="223"/>
      <c r="BX25" s="237">
        <v>8</v>
      </c>
      <c r="BY25" s="238"/>
      <c r="BZ25" s="238"/>
      <c r="CA25" s="238"/>
      <c r="CB25" s="239"/>
      <c r="CC25" s="213" t="s">
        <v>27</v>
      </c>
      <c r="CD25" s="214"/>
      <c r="CE25" s="214"/>
      <c r="CF25" s="214"/>
      <c r="CG25" s="215"/>
    </row>
    <row r="26" spans="1:85" ht="20.100000000000001" customHeight="1">
      <c r="A26" s="203"/>
      <c r="B26" s="204"/>
      <c r="C26" s="204"/>
      <c r="D26" s="204"/>
      <c r="E26" s="205"/>
      <c r="T26" s="95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167"/>
      <c r="AT26" s="1"/>
      <c r="AU26" s="2"/>
      <c r="AV26" s="2"/>
      <c r="AW26" s="2"/>
      <c r="AX26" s="3"/>
      <c r="AY26" s="59"/>
      <c r="AZ26" s="60"/>
      <c r="BA26" s="60"/>
      <c r="BB26" s="60"/>
      <c r="BC26" s="6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8"/>
      <c r="BS26" s="224"/>
      <c r="BT26" s="224"/>
      <c r="BU26" s="224"/>
      <c r="BV26" s="224"/>
      <c r="BW26" s="225"/>
      <c r="BX26" s="240"/>
      <c r="BY26" s="204"/>
      <c r="BZ26" s="204"/>
      <c r="CA26" s="204"/>
      <c r="CB26" s="241"/>
      <c r="CC26" s="216"/>
      <c r="CD26" s="217"/>
      <c r="CE26" s="217"/>
      <c r="CF26" s="217"/>
      <c r="CG26" s="218"/>
    </row>
    <row r="27" spans="1:85" ht="20.100000000000001" customHeight="1">
      <c r="A27" s="203"/>
      <c r="B27" s="204"/>
      <c r="C27" s="204"/>
      <c r="D27" s="204"/>
      <c r="E27" s="205"/>
      <c r="T27" s="95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167"/>
      <c r="AT27" s="1"/>
      <c r="AU27" s="2"/>
      <c r="AV27" s="2"/>
      <c r="AW27" s="2"/>
      <c r="AX27" s="3"/>
      <c r="AY27" s="59"/>
      <c r="AZ27" s="60"/>
      <c r="BA27" s="60"/>
      <c r="BB27" s="60"/>
      <c r="BC27" s="6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8"/>
      <c r="BS27" s="224"/>
      <c r="BT27" s="224"/>
      <c r="BU27" s="224"/>
      <c r="BV27" s="224"/>
      <c r="BW27" s="225"/>
      <c r="BX27" s="240"/>
      <c r="BY27" s="204"/>
      <c r="BZ27" s="204"/>
      <c r="CA27" s="204"/>
      <c r="CB27" s="241"/>
      <c r="CC27" s="216"/>
      <c r="CD27" s="217"/>
      <c r="CE27" s="217"/>
      <c r="CF27" s="217"/>
      <c r="CG27" s="218"/>
    </row>
    <row r="28" spans="1:85" ht="20.100000000000001" customHeight="1">
      <c r="A28" s="203"/>
      <c r="B28" s="204"/>
      <c r="C28" s="204"/>
      <c r="D28" s="204"/>
      <c r="E28" s="205"/>
      <c r="T28" s="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"/>
      <c r="AU28" s="2"/>
      <c r="AV28" s="2"/>
      <c r="AW28" s="2"/>
      <c r="AX28" s="3"/>
      <c r="AY28" s="59"/>
      <c r="AZ28" s="60"/>
      <c r="BA28" s="60"/>
      <c r="BB28" s="60"/>
      <c r="BC28" s="61"/>
      <c r="BD28" s="186" t="s">
        <v>2</v>
      </c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8"/>
      <c r="BS28" s="224"/>
      <c r="BT28" s="224"/>
      <c r="BU28" s="224"/>
      <c r="BV28" s="224"/>
      <c r="BW28" s="225"/>
      <c r="BX28" s="240"/>
      <c r="BY28" s="204"/>
      <c r="BZ28" s="204"/>
      <c r="CA28" s="204"/>
      <c r="CB28" s="241"/>
      <c r="CC28" s="216"/>
      <c r="CD28" s="217"/>
      <c r="CE28" s="217"/>
      <c r="CF28" s="217"/>
      <c r="CG28" s="218"/>
    </row>
    <row r="29" spans="1:85" ht="20.100000000000001" customHeight="1" thickBot="1">
      <c r="A29" s="206"/>
      <c r="B29" s="207"/>
      <c r="C29" s="207"/>
      <c r="D29" s="207"/>
      <c r="E29" s="208"/>
      <c r="T29" s="69" t="s">
        <v>64</v>
      </c>
      <c r="U29" s="70"/>
      <c r="V29" s="70"/>
      <c r="W29" s="70"/>
      <c r="X29" s="70"/>
      <c r="Y29" s="70"/>
      <c r="Z29" s="70"/>
      <c r="AA29" s="7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5"/>
      <c r="AU29" s="10"/>
      <c r="AV29" s="10"/>
      <c r="AW29" s="10"/>
      <c r="AX29" s="16"/>
      <c r="AY29" s="62"/>
      <c r="AZ29" s="63"/>
      <c r="BA29" s="63"/>
      <c r="BB29" s="63"/>
      <c r="BC29" s="64"/>
      <c r="BD29" s="189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1"/>
      <c r="BS29" s="226"/>
      <c r="BT29" s="226"/>
      <c r="BU29" s="226"/>
      <c r="BV29" s="226"/>
      <c r="BW29" s="227"/>
      <c r="BX29" s="242"/>
      <c r="BY29" s="243"/>
      <c r="BZ29" s="243"/>
      <c r="CA29" s="243"/>
      <c r="CB29" s="244"/>
      <c r="CC29" s="219"/>
      <c r="CD29" s="220"/>
      <c r="CE29" s="220"/>
      <c r="CF29" s="220"/>
      <c r="CG29" s="221"/>
    </row>
    <row r="30" spans="1:85" ht="20.100000000000001" customHeight="1" thickTop="1">
      <c r="A30" s="200">
        <v>7</v>
      </c>
      <c r="B30" s="201"/>
      <c r="C30" s="201"/>
      <c r="D30" s="201"/>
      <c r="E30" s="202"/>
      <c r="R30" s="93" t="s">
        <v>4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5"/>
      <c r="AR30" s="5"/>
      <c r="AS30" s="5"/>
      <c r="AT30" s="47" t="s">
        <v>61</v>
      </c>
      <c r="AU30" s="48"/>
      <c r="AV30" s="48"/>
      <c r="AW30" s="48"/>
      <c r="AX30" s="49"/>
      <c r="AY30" s="56" t="s">
        <v>62</v>
      </c>
      <c r="AZ30" s="57"/>
      <c r="BA30" s="57"/>
      <c r="BB30" s="57"/>
      <c r="BC30" s="58"/>
      <c r="BD30" s="5"/>
      <c r="BE30" s="5"/>
      <c r="BF30" s="5"/>
      <c r="BG30" s="5"/>
      <c r="BH30" s="5"/>
      <c r="BI30" s="65" t="s">
        <v>63</v>
      </c>
      <c r="BJ30" s="65"/>
      <c r="BK30" s="65"/>
      <c r="BL30" s="65"/>
      <c r="BM30" s="65"/>
      <c r="BN30" s="65"/>
      <c r="BO30" s="65"/>
      <c r="BP30" s="65"/>
      <c r="BQ30" s="65"/>
      <c r="BR30" s="66"/>
      <c r="BS30" s="222" t="s">
        <v>6</v>
      </c>
      <c r="BT30" s="222"/>
      <c r="BU30" s="222"/>
      <c r="BV30" s="222"/>
      <c r="BW30" s="223"/>
      <c r="BX30" s="237">
        <v>7</v>
      </c>
      <c r="BY30" s="238"/>
      <c r="BZ30" s="238"/>
      <c r="CA30" s="238"/>
      <c r="CB30" s="239"/>
      <c r="CC30" s="213" t="s">
        <v>26</v>
      </c>
      <c r="CD30" s="214"/>
      <c r="CE30" s="214"/>
      <c r="CF30" s="214"/>
      <c r="CG30" s="215"/>
    </row>
    <row r="31" spans="1:85" ht="20.100000000000001" customHeight="1">
      <c r="A31" s="203"/>
      <c r="B31" s="204"/>
      <c r="C31" s="204"/>
      <c r="D31" s="204"/>
      <c r="E31" s="205"/>
      <c r="R31" s="95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2"/>
      <c r="AR31" s="2"/>
      <c r="AS31" s="2"/>
      <c r="AT31" s="50"/>
      <c r="AU31" s="51"/>
      <c r="AV31" s="51"/>
      <c r="AW31" s="51"/>
      <c r="AX31" s="52"/>
      <c r="AY31" s="59"/>
      <c r="AZ31" s="60"/>
      <c r="BA31" s="60"/>
      <c r="BB31" s="60"/>
      <c r="BC31" s="61"/>
      <c r="BD31" s="2"/>
      <c r="BE31" s="2"/>
      <c r="BF31" s="2"/>
      <c r="BG31" s="2"/>
      <c r="BH31" s="2"/>
      <c r="BI31" s="67"/>
      <c r="BJ31" s="67"/>
      <c r="BK31" s="67"/>
      <c r="BL31" s="67"/>
      <c r="BM31" s="67"/>
      <c r="BN31" s="67"/>
      <c r="BO31" s="67"/>
      <c r="BP31" s="67"/>
      <c r="BQ31" s="67"/>
      <c r="BR31" s="68"/>
      <c r="BS31" s="224"/>
      <c r="BT31" s="224"/>
      <c r="BU31" s="224"/>
      <c r="BV31" s="224"/>
      <c r="BW31" s="225"/>
      <c r="BX31" s="240"/>
      <c r="BY31" s="204"/>
      <c r="BZ31" s="204"/>
      <c r="CA31" s="204"/>
      <c r="CB31" s="241"/>
      <c r="CC31" s="216"/>
      <c r="CD31" s="217"/>
      <c r="CE31" s="217"/>
      <c r="CF31" s="217"/>
      <c r="CG31" s="218"/>
    </row>
    <row r="32" spans="1:85" ht="20.100000000000001" customHeight="1">
      <c r="A32" s="203"/>
      <c r="B32" s="204"/>
      <c r="C32" s="204"/>
      <c r="D32" s="204"/>
      <c r="E32" s="205"/>
      <c r="R32" s="95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2"/>
      <c r="AR32" s="2"/>
      <c r="AS32" s="2"/>
      <c r="AT32" s="50"/>
      <c r="AU32" s="51"/>
      <c r="AV32" s="51"/>
      <c r="AW32" s="51"/>
      <c r="AX32" s="52"/>
      <c r="AY32" s="59"/>
      <c r="AZ32" s="60"/>
      <c r="BA32" s="60"/>
      <c r="BB32" s="60"/>
      <c r="BC32" s="6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8"/>
      <c r="BS32" s="224"/>
      <c r="BT32" s="224"/>
      <c r="BU32" s="224"/>
      <c r="BV32" s="224"/>
      <c r="BW32" s="225"/>
      <c r="BX32" s="240"/>
      <c r="BY32" s="204"/>
      <c r="BZ32" s="204"/>
      <c r="CA32" s="204"/>
      <c r="CB32" s="241"/>
      <c r="CC32" s="216"/>
      <c r="CD32" s="217"/>
      <c r="CE32" s="217"/>
      <c r="CF32" s="217"/>
      <c r="CG32" s="218"/>
    </row>
    <row r="33" spans="1:85" ht="20.100000000000001" customHeight="1">
      <c r="A33" s="203"/>
      <c r="B33" s="204"/>
      <c r="C33" s="204"/>
      <c r="D33" s="204"/>
      <c r="E33" s="205"/>
      <c r="R33" s="7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198" t="s">
        <v>60</v>
      </c>
      <c r="AK33" s="198"/>
      <c r="AL33" s="198"/>
      <c r="AM33" s="198"/>
      <c r="AN33" s="198"/>
      <c r="AO33" s="2"/>
      <c r="AP33" s="2"/>
      <c r="AQ33" s="2"/>
      <c r="AR33" s="2"/>
      <c r="AS33" s="2"/>
      <c r="AT33" s="50"/>
      <c r="AU33" s="51"/>
      <c r="AV33" s="51"/>
      <c r="AW33" s="51"/>
      <c r="AX33" s="52"/>
      <c r="AY33" s="59"/>
      <c r="AZ33" s="60"/>
      <c r="BA33" s="60"/>
      <c r="BB33" s="60"/>
      <c r="BC33" s="61"/>
      <c r="BD33" s="186" t="s">
        <v>5</v>
      </c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8"/>
      <c r="BS33" s="224"/>
      <c r="BT33" s="224"/>
      <c r="BU33" s="224"/>
      <c r="BV33" s="224"/>
      <c r="BW33" s="225"/>
      <c r="BX33" s="240"/>
      <c r="BY33" s="204"/>
      <c r="BZ33" s="204"/>
      <c r="CA33" s="204"/>
      <c r="CB33" s="241"/>
      <c r="CC33" s="216"/>
      <c r="CD33" s="217"/>
      <c r="CE33" s="217"/>
      <c r="CF33" s="217"/>
      <c r="CG33" s="218"/>
    </row>
    <row r="34" spans="1:85" ht="20.100000000000001" customHeight="1" thickBot="1">
      <c r="A34" s="206"/>
      <c r="B34" s="207"/>
      <c r="C34" s="207"/>
      <c r="D34" s="207"/>
      <c r="E34" s="208"/>
      <c r="R34" s="69" t="s">
        <v>59</v>
      </c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10"/>
      <c r="AH34" s="10"/>
      <c r="AI34" s="10"/>
      <c r="AJ34" s="199"/>
      <c r="AK34" s="199"/>
      <c r="AL34" s="199"/>
      <c r="AM34" s="199"/>
      <c r="AN34" s="199"/>
      <c r="AO34" s="10"/>
      <c r="AP34" s="10"/>
      <c r="AQ34" s="10"/>
      <c r="AR34" s="10"/>
      <c r="AS34" s="10"/>
      <c r="AT34" s="53"/>
      <c r="AU34" s="54"/>
      <c r="AV34" s="54"/>
      <c r="AW34" s="54"/>
      <c r="AX34" s="55"/>
      <c r="AY34" s="62"/>
      <c r="AZ34" s="63"/>
      <c r="BA34" s="63"/>
      <c r="BB34" s="63"/>
      <c r="BC34" s="64"/>
      <c r="BD34" s="189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1"/>
      <c r="BS34" s="226"/>
      <c r="BT34" s="226"/>
      <c r="BU34" s="226"/>
      <c r="BV34" s="226"/>
      <c r="BW34" s="227"/>
      <c r="BX34" s="242"/>
      <c r="BY34" s="243"/>
      <c r="BZ34" s="243"/>
      <c r="CA34" s="243"/>
      <c r="CB34" s="244"/>
      <c r="CC34" s="219"/>
      <c r="CD34" s="220"/>
      <c r="CE34" s="220"/>
      <c r="CF34" s="220"/>
      <c r="CG34" s="221"/>
    </row>
    <row r="35" spans="1:85" ht="20.100000000000001" customHeight="1" thickTop="1">
      <c r="A35" s="200">
        <v>6</v>
      </c>
      <c r="B35" s="201"/>
      <c r="C35" s="201"/>
      <c r="D35" s="201"/>
      <c r="E35" s="202"/>
      <c r="P35" s="93" t="s">
        <v>7</v>
      </c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5"/>
      <c r="AO35" s="5"/>
      <c r="AP35" s="5"/>
      <c r="AQ35" s="5"/>
      <c r="AR35" s="5"/>
      <c r="AS35" s="5"/>
      <c r="AT35" s="99" t="s">
        <v>57</v>
      </c>
      <c r="AU35" s="100"/>
      <c r="AV35" s="100"/>
      <c r="AW35" s="100"/>
      <c r="AX35" s="101"/>
      <c r="AY35" s="108" t="s">
        <v>58</v>
      </c>
      <c r="AZ35" s="109"/>
      <c r="BA35" s="109"/>
      <c r="BB35" s="109"/>
      <c r="BC35" s="110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  <c r="BS35" s="251" t="s">
        <v>9</v>
      </c>
      <c r="BT35" s="251"/>
      <c r="BU35" s="251"/>
      <c r="BV35" s="251"/>
      <c r="BW35" s="252"/>
      <c r="BX35" s="228">
        <v>6</v>
      </c>
      <c r="BY35" s="229"/>
      <c r="BZ35" s="229"/>
      <c r="CA35" s="229"/>
      <c r="CB35" s="230"/>
      <c r="CC35" s="213" t="s">
        <v>25</v>
      </c>
      <c r="CD35" s="214"/>
      <c r="CE35" s="214"/>
      <c r="CF35" s="214"/>
      <c r="CG35" s="215"/>
    </row>
    <row r="36" spans="1:85" ht="20.100000000000001" customHeight="1">
      <c r="A36" s="203"/>
      <c r="B36" s="204"/>
      <c r="C36" s="204"/>
      <c r="D36" s="204"/>
      <c r="E36" s="205"/>
      <c r="P36" s="95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2"/>
      <c r="AO36" s="2"/>
      <c r="AP36" s="2"/>
      <c r="AQ36" s="2"/>
      <c r="AR36" s="2"/>
      <c r="AS36" s="2"/>
      <c r="AT36" s="102"/>
      <c r="AU36" s="103"/>
      <c r="AV36" s="103"/>
      <c r="AW36" s="103"/>
      <c r="AX36" s="104"/>
      <c r="AY36" s="111"/>
      <c r="AZ36" s="112"/>
      <c r="BA36" s="112"/>
      <c r="BB36" s="112"/>
      <c r="BC36" s="113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8"/>
      <c r="BS36" s="253"/>
      <c r="BT36" s="253"/>
      <c r="BU36" s="253"/>
      <c r="BV36" s="253"/>
      <c r="BW36" s="254"/>
      <c r="BX36" s="231"/>
      <c r="BY36" s="232"/>
      <c r="BZ36" s="232"/>
      <c r="CA36" s="232"/>
      <c r="CB36" s="233"/>
      <c r="CC36" s="216"/>
      <c r="CD36" s="217"/>
      <c r="CE36" s="217"/>
      <c r="CF36" s="217"/>
      <c r="CG36" s="218"/>
    </row>
    <row r="37" spans="1:85" ht="20.100000000000001" customHeight="1">
      <c r="A37" s="203"/>
      <c r="B37" s="204"/>
      <c r="C37" s="204"/>
      <c r="D37" s="204"/>
      <c r="E37" s="205"/>
      <c r="P37" s="95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2"/>
      <c r="AO37" s="2"/>
      <c r="AP37" s="2"/>
      <c r="AQ37" s="2"/>
      <c r="AR37" s="2"/>
      <c r="AS37" s="2"/>
      <c r="AT37" s="102"/>
      <c r="AU37" s="103"/>
      <c r="AV37" s="103"/>
      <c r="AW37" s="103"/>
      <c r="AX37" s="104"/>
      <c r="AY37" s="111"/>
      <c r="AZ37" s="112"/>
      <c r="BA37" s="112"/>
      <c r="BB37" s="112"/>
      <c r="BC37" s="113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8"/>
      <c r="BS37" s="253"/>
      <c r="BT37" s="253"/>
      <c r="BU37" s="253"/>
      <c r="BV37" s="253"/>
      <c r="BW37" s="254"/>
      <c r="BX37" s="231"/>
      <c r="BY37" s="232"/>
      <c r="BZ37" s="232"/>
      <c r="CA37" s="232"/>
      <c r="CB37" s="233"/>
      <c r="CC37" s="216"/>
      <c r="CD37" s="217"/>
      <c r="CE37" s="217"/>
      <c r="CF37" s="217"/>
      <c r="CG37" s="218"/>
    </row>
    <row r="38" spans="1:85" ht="20.100000000000001" customHeight="1">
      <c r="A38" s="203"/>
      <c r="B38" s="204"/>
      <c r="C38" s="204"/>
      <c r="D38" s="204"/>
      <c r="E38" s="205"/>
      <c r="P38" s="23" t="s">
        <v>56</v>
      </c>
      <c r="Q38" s="22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"/>
      <c r="AM38" s="2"/>
      <c r="AN38" s="2"/>
      <c r="AO38" s="2"/>
      <c r="AP38" s="2"/>
      <c r="AQ38" s="2"/>
      <c r="AR38" s="2"/>
      <c r="AS38" s="2"/>
      <c r="AT38" s="102"/>
      <c r="AU38" s="103"/>
      <c r="AV38" s="103"/>
      <c r="AW38" s="103"/>
      <c r="AX38" s="104"/>
      <c r="AY38" s="111"/>
      <c r="AZ38" s="112"/>
      <c r="BA38" s="112"/>
      <c r="BB38" s="112"/>
      <c r="BC38" s="113"/>
      <c r="BD38" s="186" t="s">
        <v>8</v>
      </c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8"/>
      <c r="BS38" s="253"/>
      <c r="BT38" s="253"/>
      <c r="BU38" s="253"/>
      <c r="BV38" s="253"/>
      <c r="BW38" s="254"/>
      <c r="BX38" s="231"/>
      <c r="BY38" s="232"/>
      <c r="BZ38" s="232"/>
      <c r="CA38" s="232"/>
      <c r="CB38" s="233"/>
      <c r="CC38" s="216"/>
      <c r="CD38" s="217"/>
      <c r="CE38" s="217"/>
      <c r="CF38" s="217"/>
      <c r="CG38" s="218"/>
    </row>
    <row r="39" spans="1:85" ht="20.100000000000001" customHeight="1" thickBot="1">
      <c r="A39" s="206"/>
      <c r="B39" s="207"/>
      <c r="C39" s="207"/>
      <c r="D39" s="207"/>
      <c r="E39" s="208"/>
      <c r="P39" s="97" t="s">
        <v>55</v>
      </c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5"/>
      <c r="AU39" s="106"/>
      <c r="AV39" s="106"/>
      <c r="AW39" s="106"/>
      <c r="AX39" s="107"/>
      <c r="AY39" s="114"/>
      <c r="AZ39" s="115"/>
      <c r="BA39" s="115"/>
      <c r="BB39" s="115"/>
      <c r="BC39" s="116"/>
      <c r="BD39" s="189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1"/>
      <c r="BS39" s="255"/>
      <c r="BT39" s="255"/>
      <c r="BU39" s="255"/>
      <c r="BV39" s="255"/>
      <c r="BW39" s="256"/>
      <c r="BX39" s="234"/>
      <c r="BY39" s="235"/>
      <c r="BZ39" s="235"/>
      <c r="CA39" s="235"/>
      <c r="CB39" s="236"/>
      <c r="CC39" s="219"/>
      <c r="CD39" s="220"/>
      <c r="CE39" s="220"/>
      <c r="CF39" s="220"/>
      <c r="CG39" s="221"/>
    </row>
    <row r="40" spans="1:85" ht="20.100000000000001" customHeight="1" thickTop="1">
      <c r="A40" s="200">
        <v>5</v>
      </c>
      <c r="B40" s="201"/>
      <c r="C40" s="201"/>
      <c r="D40" s="201"/>
      <c r="E40" s="202"/>
      <c r="N40" s="93" t="s">
        <v>10</v>
      </c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75" t="s">
        <v>52</v>
      </c>
      <c r="AU40" s="76"/>
      <c r="AV40" s="76"/>
      <c r="AW40" s="76"/>
      <c r="AX40" s="77"/>
      <c r="AY40" s="84" t="s">
        <v>53</v>
      </c>
      <c r="AZ40" s="85"/>
      <c r="BA40" s="85"/>
      <c r="BB40" s="85"/>
      <c r="BC40" s="86"/>
      <c r="BD40" s="5"/>
      <c r="BE40" s="5"/>
      <c r="BF40" s="5"/>
      <c r="BG40" s="5"/>
      <c r="BH40" s="5"/>
      <c r="BI40" s="71" t="s">
        <v>51</v>
      </c>
      <c r="BJ40" s="71"/>
      <c r="BK40" s="71"/>
      <c r="BL40" s="71"/>
      <c r="BM40" s="71"/>
      <c r="BN40" s="71"/>
      <c r="BO40" s="71"/>
      <c r="BP40" s="71"/>
      <c r="BQ40" s="71"/>
      <c r="BR40" s="72"/>
      <c r="BS40" s="245" t="s">
        <v>11</v>
      </c>
      <c r="BT40" s="245"/>
      <c r="BU40" s="245"/>
      <c r="BV40" s="245"/>
      <c r="BW40" s="246"/>
      <c r="BX40" s="237">
        <v>5</v>
      </c>
      <c r="BY40" s="238"/>
      <c r="BZ40" s="238"/>
      <c r="CA40" s="238"/>
      <c r="CB40" s="239"/>
      <c r="CC40" s="213" t="s">
        <v>24</v>
      </c>
      <c r="CD40" s="214"/>
      <c r="CE40" s="214"/>
      <c r="CF40" s="214"/>
      <c r="CG40" s="215"/>
    </row>
    <row r="41" spans="1:85" ht="20.100000000000001" customHeight="1">
      <c r="A41" s="203"/>
      <c r="B41" s="204"/>
      <c r="C41" s="204"/>
      <c r="D41" s="204"/>
      <c r="E41" s="205"/>
      <c r="N41" s="95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78"/>
      <c r="AU41" s="79"/>
      <c r="AV41" s="79"/>
      <c r="AW41" s="79"/>
      <c r="AX41" s="80"/>
      <c r="AY41" s="87"/>
      <c r="AZ41" s="88"/>
      <c r="BA41" s="88"/>
      <c r="BB41" s="88"/>
      <c r="BC41" s="89"/>
      <c r="BD41" s="2"/>
      <c r="BE41" s="2"/>
      <c r="BF41" s="2"/>
      <c r="BG41" s="2"/>
      <c r="BH41" s="2"/>
      <c r="BI41" s="73"/>
      <c r="BJ41" s="73"/>
      <c r="BK41" s="73"/>
      <c r="BL41" s="73"/>
      <c r="BM41" s="73"/>
      <c r="BN41" s="73"/>
      <c r="BO41" s="73"/>
      <c r="BP41" s="73"/>
      <c r="BQ41" s="73"/>
      <c r="BR41" s="74"/>
      <c r="BS41" s="247"/>
      <c r="BT41" s="247"/>
      <c r="BU41" s="247"/>
      <c r="BV41" s="247"/>
      <c r="BW41" s="248"/>
      <c r="BX41" s="240"/>
      <c r="BY41" s="204"/>
      <c r="BZ41" s="204"/>
      <c r="CA41" s="204"/>
      <c r="CB41" s="241"/>
      <c r="CC41" s="216"/>
      <c r="CD41" s="217"/>
      <c r="CE41" s="217"/>
      <c r="CF41" s="217"/>
      <c r="CG41" s="218"/>
    </row>
    <row r="42" spans="1:85" ht="20.100000000000001" customHeight="1">
      <c r="A42" s="203"/>
      <c r="B42" s="204"/>
      <c r="C42" s="204"/>
      <c r="D42" s="204"/>
      <c r="E42" s="205"/>
      <c r="N42" s="95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78"/>
      <c r="AU42" s="79"/>
      <c r="AV42" s="79"/>
      <c r="AW42" s="79"/>
      <c r="AX42" s="80"/>
      <c r="AY42" s="87"/>
      <c r="AZ42" s="88"/>
      <c r="BA42" s="88"/>
      <c r="BB42" s="88"/>
      <c r="BC42" s="89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8"/>
      <c r="BS42" s="247"/>
      <c r="BT42" s="247"/>
      <c r="BU42" s="247"/>
      <c r="BV42" s="247"/>
      <c r="BW42" s="248"/>
      <c r="BX42" s="240"/>
      <c r="BY42" s="204"/>
      <c r="BZ42" s="204"/>
      <c r="CA42" s="204"/>
      <c r="CB42" s="241"/>
      <c r="CC42" s="216"/>
      <c r="CD42" s="217"/>
      <c r="CE42" s="217"/>
      <c r="CF42" s="217"/>
      <c r="CG42" s="218"/>
    </row>
    <row r="43" spans="1:85" ht="20.100000000000001" customHeight="1">
      <c r="A43" s="203"/>
      <c r="B43" s="204"/>
      <c r="C43" s="204"/>
      <c r="D43" s="204"/>
      <c r="E43" s="205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78"/>
      <c r="AU43" s="79"/>
      <c r="AV43" s="79"/>
      <c r="AW43" s="79"/>
      <c r="AX43" s="80"/>
      <c r="AY43" s="87"/>
      <c r="AZ43" s="88"/>
      <c r="BA43" s="88"/>
      <c r="BB43" s="88"/>
      <c r="BC43" s="89"/>
      <c r="BD43" s="186" t="s">
        <v>33</v>
      </c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8"/>
      <c r="BS43" s="247"/>
      <c r="BT43" s="247"/>
      <c r="BU43" s="247"/>
      <c r="BV43" s="247"/>
      <c r="BW43" s="248"/>
      <c r="BX43" s="240"/>
      <c r="BY43" s="204"/>
      <c r="BZ43" s="204"/>
      <c r="CA43" s="204"/>
      <c r="CB43" s="241"/>
      <c r="CC43" s="216"/>
      <c r="CD43" s="217"/>
      <c r="CE43" s="217"/>
      <c r="CF43" s="217"/>
      <c r="CG43" s="218"/>
    </row>
    <row r="44" spans="1:85" ht="20.100000000000001" customHeight="1" thickBot="1">
      <c r="A44" s="206"/>
      <c r="B44" s="207"/>
      <c r="C44" s="207"/>
      <c r="D44" s="207"/>
      <c r="E44" s="208"/>
      <c r="N44" s="69" t="s">
        <v>54</v>
      </c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81"/>
      <c r="AU44" s="82"/>
      <c r="AV44" s="82"/>
      <c r="AW44" s="82"/>
      <c r="AX44" s="83"/>
      <c r="AY44" s="90"/>
      <c r="AZ44" s="91"/>
      <c r="BA44" s="91"/>
      <c r="BB44" s="91"/>
      <c r="BC44" s="92"/>
      <c r="BD44" s="189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1"/>
      <c r="BS44" s="249"/>
      <c r="BT44" s="249"/>
      <c r="BU44" s="249"/>
      <c r="BV44" s="249"/>
      <c r="BW44" s="250"/>
      <c r="BX44" s="242"/>
      <c r="BY44" s="243"/>
      <c r="BZ44" s="243"/>
      <c r="CA44" s="243"/>
      <c r="CB44" s="244"/>
      <c r="CC44" s="219"/>
      <c r="CD44" s="220"/>
      <c r="CE44" s="220"/>
      <c r="CF44" s="220"/>
      <c r="CG44" s="221"/>
    </row>
    <row r="45" spans="1:85" ht="20.100000000000001" customHeight="1" thickTop="1">
      <c r="A45" s="200">
        <v>4</v>
      </c>
      <c r="B45" s="201"/>
      <c r="C45" s="201"/>
      <c r="D45" s="201"/>
      <c r="E45" s="202"/>
      <c r="L45" s="93" t="s">
        <v>12</v>
      </c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135" t="s">
        <v>48</v>
      </c>
      <c r="AU45" s="136"/>
      <c r="AV45" s="136"/>
      <c r="AW45" s="136"/>
      <c r="AX45" s="137"/>
      <c r="AY45" s="144" t="s">
        <v>49</v>
      </c>
      <c r="AZ45" s="145"/>
      <c r="BA45" s="145"/>
      <c r="BB45" s="145"/>
      <c r="BC45" s="146"/>
      <c r="BD45" s="5"/>
      <c r="BE45" s="5"/>
      <c r="BF45" s="5"/>
      <c r="BG45" s="5"/>
      <c r="BH45" s="5"/>
      <c r="BI45" s="71" t="s">
        <v>50</v>
      </c>
      <c r="BJ45" s="71"/>
      <c r="BK45" s="71"/>
      <c r="BL45" s="71"/>
      <c r="BM45" s="71"/>
      <c r="BN45" s="71"/>
      <c r="BO45" s="71"/>
      <c r="BP45" s="71"/>
      <c r="BQ45" s="71"/>
      <c r="BR45" s="72"/>
      <c r="BS45" s="222" t="s">
        <v>13</v>
      </c>
      <c r="BT45" s="222"/>
      <c r="BU45" s="222"/>
      <c r="BV45" s="222"/>
      <c r="BW45" s="223"/>
      <c r="BX45" s="237">
        <v>4</v>
      </c>
      <c r="BY45" s="238"/>
      <c r="BZ45" s="238"/>
      <c r="CA45" s="238"/>
      <c r="CB45" s="239"/>
      <c r="CC45" s="213" t="s">
        <v>23</v>
      </c>
      <c r="CD45" s="214"/>
      <c r="CE45" s="214"/>
      <c r="CF45" s="214"/>
      <c r="CG45" s="215"/>
    </row>
    <row r="46" spans="1:85" ht="20.100000000000001" customHeight="1">
      <c r="A46" s="203"/>
      <c r="B46" s="204"/>
      <c r="C46" s="204"/>
      <c r="D46" s="204"/>
      <c r="E46" s="205"/>
      <c r="L46" s="95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138"/>
      <c r="AU46" s="139"/>
      <c r="AV46" s="139"/>
      <c r="AW46" s="139"/>
      <c r="AX46" s="140"/>
      <c r="AY46" s="147"/>
      <c r="AZ46" s="148"/>
      <c r="BA46" s="148"/>
      <c r="BB46" s="148"/>
      <c r="BC46" s="149"/>
      <c r="BD46" s="2"/>
      <c r="BE46" s="2"/>
      <c r="BF46" s="2"/>
      <c r="BG46" s="2"/>
      <c r="BH46" s="2"/>
      <c r="BI46" s="73"/>
      <c r="BJ46" s="73"/>
      <c r="BK46" s="73"/>
      <c r="BL46" s="73"/>
      <c r="BM46" s="73"/>
      <c r="BN46" s="73"/>
      <c r="BO46" s="73"/>
      <c r="BP46" s="73"/>
      <c r="BQ46" s="73"/>
      <c r="BR46" s="74"/>
      <c r="BS46" s="224"/>
      <c r="BT46" s="224"/>
      <c r="BU46" s="224"/>
      <c r="BV46" s="224"/>
      <c r="BW46" s="225"/>
      <c r="BX46" s="240"/>
      <c r="BY46" s="204"/>
      <c r="BZ46" s="204"/>
      <c r="CA46" s="204"/>
      <c r="CB46" s="241"/>
      <c r="CC46" s="216"/>
      <c r="CD46" s="217"/>
      <c r="CE46" s="217"/>
      <c r="CF46" s="217"/>
      <c r="CG46" s="218"/>
    </row>
    <row r="47" spans="1:85" ht="20.100000000000001" customHeight="1">
      <c r="A47" s="203"/>
      <c r="B47" s="204"/>
      <c r="C47" s="204"/>
      <c r="D47" s="204"/>
      <c r="E47" s="205"/>
      <c r="L47" s="95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138"/>
      <c r="AU47" s="139"/>
      <c r="AV47" s="139"/>
      <c r="AW47" s="139"/>
      <c r="AX47" s="140"/>
      <c r="AY47" s="147"/>
      <c r="AZ47" s="148"/>
      <c r="BA47" s="148"/>
      <c r="BB47" s="148"/>
      <c r="BC47" s="149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8"/>
      <c r="BS47" s="224"/>
      <c r="BT47" s="224"/>
      <c r="BU47" s="224"/>
      <c r="BV47" s="224"/>
      <c r="BW47" s="225"/>
      <c r="BX47" s="240"/>
      <c r="BY47" s="204"/>
      <c r="BZ47" s="204"/>
      <c r="CA47" s="204"/>
      <c r="CB47" s="241"/>
      <c r="CC47" s="216"/>
      <c r="CD47" s="217"/>
      <c r="CE47" s="217"/>
      <c r="CF47" s="217"/>
      <c r="CG47" s="218"/>
    </row>
    <row r="48" spans="1:85" ht="20.100000000000001" customHeight="1">
      <c r="A48" s="203"/>
      <c r="B48" s="204"/>
      <c r="C48" s="204"/>
      <c r="D48" s="204"/>
      <c r="E48" s="205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138"/>
      <c r="AU48" s="139"/>
      <c r="AV48" s="139"/>
      <c r="AW48" s="139"/>
      <c r="AX48" s="140"/>
      <c r="AY48" s="147"/>
      <c r="AZ48" s="148"/>
      <c r="BA48" s="148"/>
      <c r="BB48" s="148"/>
      <c r="BC48" s="149"/>
      <c r="BD48" s="180" t="s">
        <v>34</v>
      </c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2"/>
      <c r="BS48" s="224"/>
      <c r="BT48" s="224"/>
      <c r="BU48" s="224"/>
      <c r="BV48" s="224"/>
      <c r="BW48" s="225"/>
      <c r="BX48" s="240"/>
      <c r="BY48" s="204"/>
      <c r="BZ48" s="204"/>
      <c r="CA48" s="204"/>
      <c r="CB48" s="241"/>
      <c r="CC48" s="216"/>
      <c r="CD48" s="217"/>
      <c r="CE48" s="217"/>
      <c r="CF48" s="217"/>
      <c r="CG48" s="218"/>
    </row>
    <row r="49" spans="1:85" ht="20.100000000000001" customHeight="1" thickBot="1">
      <c r="A49" s="206"/>
      <c r="B49" s="207"/>
      <c r="C49" s="207"/>
      <c r="D49" s="207"/>
      <c r="E49" s="208"/>
      <c r="L49" s="69" t="s">
        <v>47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41"/>
      <c r="AU49" s="142"/>
      <c r="AV49" s="142"/>
      <c r="AW49" s="142"/>
      <c r="AX49" s="143"/>
      <c r="AY49" s="150"/>
      <c r="AZ49" s="151"/>
      <c r="BA49" s="151"/>
      <c r="BB49" s="151"/>
      <c r="BC49" s="152"/>
      <c r="BD49" s="183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5"/>
      <c r="BS49" s="226"/>
      <c r="BT49" s="226"/>
      <c r="BU49" s="226"/>
      <c r="BV49" s="226"/>
      <c r="BW49" s="227"/>
      <c r="BX49" s="242"/>
      <c r="BY49" s="243"/>
      <c r="BZ49" s="243"/>
      <c r="CA49" s="243"/>
      <c r="CB49" s="244"/>
      <c r="CC49" s="219"/>
      <c r="CD49" s="220"/>
      <c r="CE49" s="220"/>
      <c r="CF49" s="220"/>
      <c r="CG49" s="221"/>
    </row>
    <row r="50" spans="1:85" ht="20.100000000000001" customHeight="1" thickTop="1">
      <c r="A50" s="200">
        <v>3</v>
      </c>
      <c r="B50" s="201"/>
      <c r="C50" s="201"/>
      <c r="D50" s="201"/>
      <c r="E50" s="202"/>
      <c r="J50" s="93" t="s">
        <v>14</v>
      </c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117" t="s">
        <v>43</v>
      </c>
      <c r="AU50" s="118"/>
      <c r="AV50" s="118"/>
      <c r="AW50" s="118"/>
      <c r="AX50" s="119"/>
      <c r="AY50" s="126" t="s">
        <v>44</v>
      </c>
      <c r="AZ50" s="127"/>
      <c r="BA50" s="127"/>
      <c r="BB50" s="127"/>
      <c r="BC50" s="128"/>
      <c r="BD50" s="5"/>
      <c r="BE50" s="5"/>
      <c r="BF50" s="5"/>
      <c r="BG50" s="5"/>
      <c r="BH50" s="5"/>
      <c r="BI50" s="71" t="s">
        <v>46</v>
      </c>
      <c r="BJ50" s="71"/>
      <c r="BK50" s="71"/>
      <c r="BL50" s="71"/>
      <c r="BM50" s="71"/>
      <c r="BN50" s="71"/>
      <c r="BO50" s="71"/>
      <c r="BP50" s="71"/>
      <c r="BQ50" s="71"/>
      <c r="BR50" s="72"/>
      <c r="BS50" s="222" t="s">
        <v>15</v>
      </c>
      <c r="BT50" s="222"/>
      <c r="BU50" s="222"/>
      <c r="BV50" s="222"/>
      <c r="BW50" s="223"/>
      <c r="BX50" s="237">
        <v>3</v>
      </c>
      <c r="BY50" s="238"/>
      <c r="BZ50" s="238"/>
      <c r="CA50" s="238"/>
      <c r="CB50" s="239"/>
      <c r="CC50" s="213" t="s">
        <v>22</v>
      </c>
      <c r="CD50" s="214"/>
      <c r="CE50" s="214"/>
      <c r="CF50" s="214"/>
      <c r="CG50" s="215"/>
    </row>
    <row r="51" spans="1:85" ht="20.100000000000001" customHeight="1">
      <c r="A51" s="203"/>
      <c r="B51" s="204"/>
      <c r="C51" s="204"/>
      <c r="D51" s="204"/>
      <c r="E51" s="205"/>
      <c r="J51" s="95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120"/>
      <c r="AU51" s="121"/>
      <c r="AV51" s="121"/>
      <c r="AW51" s="121"/>
      <c r="AX51" s="122"/>
      <c r="AY51" s="129"/>
      <c r="AZ51" s="130"/>
      <c r="BA51" s="130"/>
      <c r="BB51" s="130"/>
      <c r="BC51" s="131"/>
      <c r="BD51" s="2"/>
      <c r="BE51" s="2"/>
      <c r="BF51" s="2"/>
      <c r="BG51" s="2"/>
      <c r="BH51" s="2"/>
      <c r="BI51" s="73"/>
      <c r="BJ51" s="73"/>
      <c r="BK51" s="73"/>
      <c r="BL51" s="73"/>
      <c r="BM51" s="73"/>
      <c r="BN51" s="73"/>
      <c r="BO51" s="73"/>
      <c r="BP51" s="73"/>
      <c r="BQ51" s="73"/>
      <c r="BR51" s="74"/>
      <c r="BS51" s="224"/>
      <c r="BT51" s="224"/>
      <c r="BU51" s="224"/>
      <c r="BV51" s="224"/>
      <c r="BW51" s="225"/>
      <c r="BX51" s="240"/>
      <c r="BY51" s="204"/>
      <c r="BZ51" s="204"/>
      <c r="CA51" s="204"/>
      <c r="CB51" s="241"/>
      <c r="CC51" s="216"/>
      <c r="CD51" s="217"/>
      <c r="CE51" s="217"/>
      <c r="CF51" s="217"/>
      <c r="CG51" s="218"/>
    </row>
    <row r="52" spans="1:85" ht="20.100000000000001" customHeight="1">
      <c r="A52" s="203"/>
      <c r="B52" s="204"/>
      <c r="C52" s="204"/>
      <c r="D52" s="204"/>
      <c r="E52" s="205"/>
      <c r="J52" s="95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120"/>
      <c r="AU52" s="121"/>
      <c r="AV52" s="121"/>
      <c r="AW52" s="121"/>
      <c r="AX52" s="122"/>
      <c r="AY52" s="129"/>
      <c r="AZ52" s="130"/>
      <c r="BA52" s="130"/>
      <c r="BB52" s="130"/>
      <c r="BC52" s="13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8"/>
      <c r="BS52" s="224"/>
      <c r="BT52" s="224"/>
      <c r="BU52" s="224"/>
      <c r="BV52" s="224"/>
      <c r="BW52" s="225"/>
      <c r="BX52" s="240"/>
      <c r="BY52" s="204"/>
      <c r="BZ52" s="204"/>
      <c r="CA52" s="204"/>
      <c r="CB52" s="241"/>
      <c r="CC52" s="216"/>
      <c r="CD52" s="217"/>
      <c r="CE52" s="217"/>
      <c r="CF52" s="217"/>
      <c r="CG52" s="218"/>
    </row>
    <row r="53" spans="1:85" ht="20.100000000000001" customHeight="1">
      <c r="A53" s="203"/>
      <c r="B53" s="204"/>
      <c r="C53" s="204"/>
      <c r="D53" s="204"/>
      <c r="E53" s="205"/>
      <c r="J53" s="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120"/>
      <c r="AU53" s="121"/>
      <c r="AV53" s="121"/>
      <c r="AW53" s="121"/>
      <c r="AX53" s="122"/>
      <c r="AY53" s="129"/>
      <c r="AZ53" s="130"/>
      <c r="BA53" s="130"/>
      <c r="BB53" s="130"/>
      <c r="BC53" s="131"/>
      <c r="BD53" s="174" t="s">
        <v>35</v>
      </c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6"/>
      <c r="BS53" s="224"/>
      <c r="BT53" s="224"/>
      <c r="BU53" s="224"/>
      <c r="BV53" s="224"/>
      <c r="BW53" s="225"/>
      <c r="BX53" s="240"/>
      <c r="BY53" s="204"/>
      <c r="BZ53" s="204"/>
      <c r="CA53" s="204"/>
      <c r="CB53" s="241"/>
      <c r="CC53" s="216"/>
      <c r="CD53" s="217"/>
      <c r="CE53" s="217"/>
      <c r="CF53" s="217"/>
      <c r="CG53" s="218"/>
    </row>
    <row r="54" spans="1:85" ht="20.100000000000001" customHeight="1" thickBot="1">
      <c r="A54" s="206"/>
      <c r="B54" s="207"/>
      <c r="C54" s="207"/>
      <c r="D54" s="207"/>
      <c r="E54" s="208"/>
      <c r="J54" s="69" t="s">
        <v>45</v>
      </c>
      <c r="K54" s="70"/>
      <c r="L54" s="70"/>
      <c r="M54" s="70"/>
      <c r="N54" s="70"/>
      <c r="O54" s="70"/>
      <c r="P54" s="70"/>
      <c r="Q54" s="70"/>
      <c r="R54" s="7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23"/>
      <c r="AU54" s="124"/>
      <c r="AV54" s="124"/>
      <c r="AW54" s="124"/>
      <c r="AX54" s="125"/>
      <c r="AY54" s="132"/>
      <c r="AZ54" s="133"/>
      <c r="BA54" s="133"/>
      <c r="BB54" s="133"/>
      <c r="BC54" s="134"/>
      <c r="BD54" s="177"/>
      <c r="BE54" s="178"/>
      <c r="BF54" s="178"/>
      <c r="BG54" s="178"/>
      <c r="BH54" s="178"/>
      <c r="BI54" s="178"/>
      <c r="BJ54" s="178"/>
      <c r="BK54" s="178"/>
      <c r="BL54" s="178"/>
      <c r="BM54" s="178"/>
      <c r="BN54" s="178"/>
      <c r="BO54" s="178"/>
      <c r="BP54" s="178"/>
      <c r="BQ54" s="178"/>
      <c r="BR54" s="179"/>
      <c r="BS54" s="226"/>
      <c r="BT54" s="226"/>
      <c r="BU54" s="226"/>
      <c r="BV54" s="226"/>
      <c r="BW54" s="227"/>
      <c r="BX54" s="242"/>
      <c r="BY54" s="243"/>
      <c r="BZ54" s="243"/>
      <c r="CA54" s="243"/>
      <c r="CB54" s="244"/>
      <c r="CC54" s="219"/>
      <c r="CD54" s="220"/>
      <c r="CE54" s="220"/>
      <c r="CF54" s="220"/>
      <c r="CG54" s="221"/>
    </row>
    <row r="55" spans="1:85" ht="20.100000000000001" customHeight="1" thickTop="1">
      <c r="A55" s="200">
        <v>2</v>
      </c>
      <c r="B55" s="201"/>
      <c r="C55" s="201"/>
      <c r="D55" s="201"/>
      <c r="E55" s="202"/>
      <c r="H55" s="209" t="s">
        <v>16</v>
      </c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135" t="s">
        <v>41</v>
      </c>
      <c r="AU55" s="136"/>
      <c r="AV55" s="136"/>
      <c r="AW55" s="136"/>
      <c r="AX55" s="137"/>
      <c r="AY55" s="56" t="s">
        <v>40</v>
      </c>
      <c r="AZ55" s="57"/>
      <c r="BA55" s="57"/>
      <c r="BB55" s="57"/>
      <c r="BC55" s="58"/>
      <c r="BD55" s="5"/>
      <c r="BE55" s="5"/>
      <c r="BF55" s="5"/>
      <c r="BG55" s="5"/>
      <c r="BH55" s="5"/>
      <c r="BI55" s="162" t="s">
        <v>42</v>
      </c>
      <c r="BJ55" s="162"/>
      <c r="BK55" s="162"/>
      <c r="BL55" s="162"/>
      <c r="BM55" s="162"/>
      <c r="BN55" s="162"/>
      <c r="BO55" s="162"/>
      <c r="BP55" s="162"/>
      <c r="BQ55" s="162"/>
      <c r="BR55" s="163"/>
      <c r="BS55" s="222" t="s">
        <v>17</v>
      </c>
      <c r="BT55" s="222"/>
      <c r="BU55" s="222"/>
      <c r="BV55" s="222"/>
      <c r="BW55" s="223"/>
      <c r="BX55" s="237">
        <v>2</v>
      </c>
      <c r="BY55" s="238"/>
      <c r="BZ55" s="238"/>
      <c r="CA55" s="238"/>
      <c r="CB55" s="239"/>
      <c r="CC55" s="213" t="s">
        <v>21</v>
      </c>
      <c r="CD55" s="214"/>
      <c r="CE55" s="214"/>
      <c r="CF55" s="214"/>
      <c r="CG55" s="215"/>
    </row>
    <row r="56" spans="1:85" ht="20.100000000000001" customHeight="1">
      <c r="A56" s="203"/>
      <c r="B56" s="204"/>
      <c r="C56" s="204"/>
      <c r="D56" s="204"/>
      <c r="E56" s="205"/>
      <c r="H56" s="211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138"/>
      <c r="AU56" s="139"/>
      <c r="AV56" s="139"/>
      <c r="AW56" s="139"/>
      <c r="AX56" s="140"/>
      <c r="AY56" s="59"/>
      <c r="AZ56" s="60"/>
      <c r="BA56" s="60"/>
      <c r="BB56" s="60"/>
      <c r="BC56" s="61"/>
      <c r="BD56" s="2"/>
      <c r="BE56" s="2"/>
      <c r="BF56" s="2"/>
      <c r="BG56" s="2"/>
      <c r="BH56" s="2"/>
      <c r="BI56" s="164"/>
      <c r="BJ56" s="164"/>
      <c r="BK56" s="164"/>
      <c r="BL56" s="164"/>
      <c r="BM56" s="164"/>
      <c r="BN56" s="164"/>
      <c r="BO56" s="164"/>
      <c r="BP56" s="164"/>
      <c r="BQ56" s="164"/>
      <c r="BR56" s="165"/>
      <c r="BS56" s="224"/>
      <c r="BT56" s="224"/>
      <c r="BU56" s="224"/>
      <c r="BV56" s="224"/>
      <c r="BW56" s="225"/>
      <c r="BX56" s="240"/>
      <c r="BY56" s="204"/>
      <c r="BZ56" s="204"/>
      <c r="CA56" s="204"/>
      <c r="CB56" s="241"/>
      <c r="CC56" s="216"/>
      <c r="CD56" s="217"/>
      <c r="CE56" s="217"/>
      <c r="CF56" s="217"/>
      <c r="CG56" s="218"/>
    </row>
    <row r="57" spans="1:85" ht="20.100000000000001" customHeight="1">
      <c r="A57" s="203"/>
      <c r="B57" s="204"/>
      <c r="C57" s="204"/>
      <c r="D57" s="204"/>
      <c r="E57" s="205"/>
      <c r="H57" s="211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138"/>
      <c r="AU57" s="139"/>
      <c r="AV57" s="139"/>
      <c r="AW57" s="139"/>
      <c r="AX57" s="140"/>
      <c r="AY57" s="59"/>
      <c r="AZ57" s="60"/>
      <c r="BA57" s="60"/>
      <c r="BB57" s="60"/>
      <c r="BC57" s="6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8"/>
      <c r="BS57" s="224"/>
      <c r="BT57" s="224"/>
      <c r="BU57" s="224"/>
      <c r="BV57" s="224"/>
      <c r="BW57" s="225"/>
      <c r="BX57" s="240"/>
      <c r="BY57" s="204"/>
      <c r="BZ57" s="204"/>
      <c r="CA57" s="204"/>
      <c r="CB57" s="241"/>
      <c r="CC57" s="216"/>
      <c r="CD57" s="217"/>
      <c r="CE57" s="217"/>
      <c r="CF57" s="217"/>
      <c r="CG57" s="218"/>
    </row>
    <row r="58" spans="1:85" ht="20.100000000000001" customHeight="1">
      <c r="A58" s="203"/>
      <c r="B58" s="204"/>
      <c r="C58" s="204"/>
      <c r="D58" s="204"/>
      <c r="E58" s="205"/>
      <c r="H58" s="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138"/>
      <c r="AU58" s="139"/>
      <c r="AV58" s="139"/>
      <c r="AW58" s="139"/>
      <c r="AX58" s="140"/>
      <c r="AY58" s="59"/>
      <c r="AZ58" s="60"/>
      <c r="BA58" s="60"/>
      <c r="BB58" s="60"/>
      <c r="BC58" s="61"/>
      <c r="BD58" s="168" t="s">
        <v>31</v>
      </c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70"/>
      <c r="BS58" s="224"/>
      <c r="BT58" s="224"/>
      <c r="BU58" s="224"/>
      <c r="BV58" s="224"/>
      <c r="BW58" s="225"/>
      <c r="BX58" s="240"/>
      <c r="BY58" s="204"/>
      <c r="BZ58" s="204"/>
      <c r="CA58" s="204"/>
      <c r="CB58" s="241"/>
      <c r="CC58" s="216"/>
      <c r="CD58" s="217"/>
      <c r="CE58" s="217"/>
      <c r="CF58" s="217"/>
      <c r="CG58" s="218"/>
    </row>
    <row r="59" spans="1:85" ht="20.100000000000001" customHeight="1" thickBot="1">
      <c r="A59" s="206"/>
      <c r="B59" s="207"/>
      <c r="C59" s="207"/>
      <c r="D59" s="207"/>
      <c r="E59" s="208"/>
      <c r="H59" s="97" t="s">
        <v>39</v>
      </c>
      <c r="I59" s="98"/>
      <c r="J59" s="98"/>
      <c r="K59" s="98"/>
      <c r="L59" s="98"/>
      <c r="M59" s="98"/>
      <c r="N59" s="98"/>
      <c r="O59" s="98"/>
      <c r="P59" s="98"/>
      <c r="Q59" s="98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41"/>
      <c r="AU59" s="142"/>
      <c r="AV59" s="142"/>
      <c r="AW59" s="142"/>
      <c r="AX59" s="143"/>
      <c r="AY59" s="62"/>
      <c r="AZ59" s="63"/>
      <c r="BA59" s="63"/>
      <c r="BB59" s="63"/>
      <c r="BC59" s="64"/>
      <c r="BD59" s="171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3"/>
      <c r="BS59" s="226"/>
      <c r="BT59" s="226"/>
      <c r="BU59" s="226"/>
      <c r="BV59" s="226"/>
      <c r="BW59" s="227"/>
      <c r="BX59" s="242"/>
      <c r="BY59" s="243"/>
      <c r="BZ59" s="243"/>
      <c r="CA59" s="243"/>
      <c r="CB59" s="244"/>
      <c r="CC59" s="219"/>
      <c r="CD59" s="220"/>
      <c r="CE59" s="220"/>
      <c r="CF59" s="220"/>
      <c r="CG59" s="221"/>
    </row>
    <row r="60" spans="1:85" ht="20.100000000000001" customHeight="1" thickTop="1">
      <c r="A60" s="200">
        <v>1</v>
      </c>
      <c r="B60" s="201"/>
      <c r="C60" s="201"/>
      <c r="D60" s="201"/>
      <c r="E60" s="202"/>
      <c r="F60" s="93" t="s">
        <v>18</v>
      </c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5"/>
      <c r="AN60" s="5"/>
      <c r="AO60" s="5"/>
      <c r="AP60" s="5"/>
      <c r="AQ60" s="5"/>
      <c r="AR60" s="5"/>
      <c r="AS60" s="5"/>
      <c r="AT60" s="153" t="s">
        <v>36</v>
      </c>
      <c r="AU60" s="154"/>
      <c r="AV60" s="154"/>
      <c r="AW60" s="154"/>
      <c r="AX60" s="155"/>
      <c r="AY60" s="84" t="s">
        <v>37</v>
      </c>
      <c r="AZ60" s="85"/>
      <c r="BA60" s="85"/>
      <c r="BB60" s="85"/>
      <c r="BC60" s="86"/>
      <c r="BD60" s="5"/>
      <c r="BE60" s="5"/>
      <c r="BF60" s="5"/>
      <c r="BG60" s="5"/>
      <c r="BH60" s="5"/>
      <c r="BI60" s="71" t="s">
        <v>38</v>
      </c>
      <c r="BJ60" s="71"/>
      <c r="BK60" s="71"/>
      <c r="BL60" s="71"/>
      <c r="BM60" s="71"/>
      <c r="BN60" s="71"/>
      <c r="BO60" s="71"/>
      <c r="BP60" s="71"/>
      <c r="BQ60" s="71"/>
      <c r="BR60" s="72"/>
      <c r="BS60" s="222" t="s">
        <v>19</v>
      </c>
      <c r="BT60" s="222"/>
      <c r="BU60" s="222"/>
      <c r="BV60" s="222"/>
      <c r="BW60" s="223"/>
      <c r="BX60" s="228">
        <v>1</v>
      </c>
      <c r="BY60" s="229"/>
      <c r="BZ60" s="229"/>
      <c r="CA60" s="229"/>
      <c r="CB60" s="230"/>
      <c r="CC60" s="213" t="s">
        <v>20</v>
      </c>
      <c r="CD60" s="214"/>
      <c r="CE60" s="214"/>
      <c r="CF60" s="214"/>
      <c r="CG60" s="215"/>
    </row>
    <row r="61" spans="1:85" ht="20.100000000000001" customHeight="1">
      <c r="A61" s="203"/>
      <c r="B61" s="204"/>
      <c r="C61" s="204"/>
      <c r="D61" s="204"/>
      <c r="E61" s="205"/>
      <c r="F61" s="95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2"/>
      <c r="AN61" s="2"/>
      <c r="AO61" s="2"/>
      <c r="AP61" s="2"/>
      <c r="AQ61" s="2"/>
      <c r="AR61" s="2"/>
      <c r="AS61" s="2"/>
      <c r="AT61" s="156"/>
      <c r="AU61" s="157"/>
      <c r="AV61" s="157"/>
      <c r="AW61" s="157"/>
      <c r="AX61" s="158"/>
      <c r="AY61" s="87"/>
      <c r="AZ61" s="88"/>
      <c r="BA61" s="88"/>
      <c r="BB61" s="88"/>
      <c r="BC61" s="89"/>
      <c r="BD61" s="2"/>
      <c r="BE61" s="2"/>
      <c r="BF61" s="2"/>
      <c r="BG61" s="2"/>
      <c r="BH61" s="2"/>
      <c r="BI61" s="73"/>
      <c r="BJ61" s="73"/>
      <c r="BK61" s="73"/>
      <c r="BL61" s="73"/>
      <c r="BM61" s="73"/>
      <c r="BN61" s="73"/>
      <c r="BO61" s="73"/>
      <c r="BP61" s="73"/>
      <c r="BQ61" s="73"/>
      <c r="BR61" s="74"/>
      <c r="BS61" s="224"/>
      <c r="BT61" s="224"/>
      <c r="BU61" s="224"/>
      <c r="BV61" s="224"/>
      <c r="BW61" s="225"/>
      <c r="BX61" s="231"/>
      <c r="BY61" s="232"/>
      <c r="BZ61" s="232"/>
      <c r="CA61" s="232"/>
      <c r="CB61" s="233"/>
      <c r="CC61" s="216"/>
      <c r="CD61" s="217"/>
      <c r="CE61" s="217"/>
      <c r="CF61" s="217"/>
      <c r="CG61" s="218"/>
    </row>
    <row r="62" spans="1:85" ht="20.100000000000001" customHeight="1">
      <c r="A62" s="203"/>
      <c r="B62" s="204"/>
      <c r="C62" s="204"/>
      <c r="D62" s="204"/>
      <c r="E62" s="205"/>
      <c r="F62" s="95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2"/>
      <c r="AN62" s="2"/>
      <c r="AO62" s="2"/>
      <c r="AP62" s="2"/>
      <c r="AQ62" s="2"/>
      <c r="AR62" s="2"/>
      <c r="AS62" s="2"/>
      <c r="AT62" s="156"/>
      <c r="AU62" s="157"/>
      <c r="AV62" s="157"/>
      <c r="AW62" s="157"/>
      <c r="AX62" s="158"/>
      <c r="AY62" s="87"/>
      <c r="AZ62" s="88"/>
      <c r="BA62" s="88"/>
      <c r="BB62" s="88"/>
      <c r="BC62" s="89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8"/>
      <c r="BS62" s="224"/>
      <c r="BT62" s="224"/>
      <c r="BU62" s="224"/>
      <c r="BV62" s="224"/>
      <c r="BW62" s="225"/>
      <c r="BX62" s="231"/>
      <c r="BY62" s="232"/>
      <c r="BZ62" s="232"/>
      <c r="CA62" s="232"/>
      <c r="CB62" s="233"/>
      <c r="CC62" s="216"/>
      <c r="CD62" s="217"/>
      <c r="CE62" s="217"/>
      <c r="CF62" s="217"/>
      <c r="CG62" s="218"/>
    </row>
    <row r="63" spans="1:85" ht="20.100000000000001" customHeight="1">
      <c r="A63" s="203"/>
      <c r="B63" s="204"/>
      <c r="C63" s="204"/>
      <c r="D63" s="204"/>
      <c r="E63" s="205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156"/>
      <c r="AU63" s="157"/>
      <c r="AV63" s="157"/>
      <c r="AW63" s="157"/>
      <c r="AX63" s="158"/>
      <c r="AY63" s="87"/>
      <c r="AZ63" s="88"/>
      <c r="BA63" s="88"/>
      <c r="BB63" s="88"/>
      <c r="BC63" s="89"/>
      <c r="BD63" s="168" t="s">
        <v>32</v>
      </c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70"/>
      <c r="BS63" s="224"/>
      <c r="BT63" s="224"/>
      <c r="BU63" s="224"/>
      <c r="BV63" s="224"/>
      <c r="BW63" s="225"/>
      <c r="BX63" s="231"/>
      <c r="BY63" s="232"/>
      <c r="BZ63" s="232"/>
      <c r="CA63" s="232"/>
      <c r="CB63" s="233"/>
      <c r="CC63" s="216"/>
      <c r="CD63" s="217"/>
      <c r="CE63" s="217"/>
      <c r="CF63" s="217"/>
      <c r="CG63" s="218"/>
    </row>
    <row r="64" spans="1:85" ht="20.100000000000001" customHeight="1" thickBot="1">
      <c r="A64" s="206"/>
      <c r="B64" s="207"/>
      <c r="C64" s="207"/>
      <c r="D64" s="207"/>
      <c r="E64" s="208"/>
      <c r="F64" s="69" t="s">
        <v>65</v>
      </c>
      <c r="G64" s="70"/>
      <c r="H64" s="70"/>
      <c r="I64" s="70"/>
      <c r="J64" s="70"/>
      <c r="K64" s="70"/>
      <c r="L64" s="70"/>
      <c r="M64" s="70"/>
      <c r="N64" s="70"/>
      <c r="O64" s="7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59"/>
      <c r="AU64" s="160"/>
      <c r="AV64" s="160"/>
      <c r="AW64" s="160"/>
      <c r="AX64" s="161"/>
      <c r="AY64" s="90"/>
      <c r="AZ64" s="91"/>
      <c r="BA64" s="91"/>
      <c r="BB64" s="91"/>
      <c r="BC64" s="92"/>
      <c r="BD64" s="171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3"/>
      <c r="BS64" s="226"/>
      <c r="BT64" s="226"/>
      <c r="BU64" s="226"/>
      <c r="BV64" s="226"/>
      <c r="BW64" s="227"/>
      <c r="BX64" s="234"/>
      <c r="BY64" s="235"/>
      <c r="BZ64" s="235"/>
      <c r="CA64" s="235"/>
      <c r="CB64" s="236"/>
      <c r="CC64" s="219"/>
      <c r="CD64" s="220"/>
      <c r="CE64" s="220"/>
      <c r="CF64" s="220"/>
      <c r="CG64" s="221"/>
    </row>
    <row r="65" spans="6:70" ht="20.100000000000001" customHeight="1" thickTop="1">
      <c r="F65" s="263">
        <v>1</v>
      </c>
      <c r="G65" s="232"/>
      <c r="H65" s="232"/>
      <c r="I65" s="232"/>
      <c r="J65" s="264"/>
      <c r="K65" s="257"/>
      <c r="L65" s="258"/>
      <c r="M65" s="258"/>
      <c r="N65" s="258"/>
      <c r="O65" s="259"/>
      <c r="P65" s="263">
        <v>2</v>
      </c>
      <c r="Q65" s="232"/>
      <c r="R65" s="232"/>
      <c r="S65" s="232"/>
      <c r="T65" s="264"/>
      <c r="U65" s="257"/>
      <c r="V65" s="258"/>
      <c r="W65" s="258"/>
      <c r="X65" s="258"/>
      <c r="Y65" s="259"/>
      <c r="Z65" s="263">
        <v>3</v>
      </c>
      <c r="AA65" s="232"/>
      <c r="AB65" s="232"/>
      <c r="AC65" s="232"/>
      <c r="AD65" s="264"/>
      <c r="AE65" s="257"/>
      <c r="AF65" s="258"/>
      <c r="AG65" s="258"/>
      <c r="AH65" s="258"/>
      <c r="AI65" s="259"/>
      <c r="AJ65" s="263">
        <v>4</v>
      </c>
      <c r="AK65" s="232"/>
      <c r="AL65" s="232"/>
      <c r="AM65" s="232"/>
      <c r="AN65" s="264"/>
      <c r="AO65" s="257"/>
      <c r="AP65" s="258"/>
      <c r="AQ65" s="258"/>
      <c r="AR65" s="258"/>
      <c r="AS65" s="259"/>
      <c r="AT65" s="263">
        <v>5</v>
      </c>
      <c r="AU65" s="232"/>
      <c r="AV65" s="232"/>
      <c r="AW65" s="232"/>
      <c r="AX65" s="264"/>
      <c r="AY65" s="257"/>
      <c r="AZ65" s="258"/>
      <c r="BA65" s="258"/>
      <c r="BB65" s="258"/>
      <c r="BC65" s="259"/>
      <c r="BD65" s="263">
        <v>6</v>
      </c>
      <c r="BE65" s="232"/>
      <c r="BF65" s="232"/>
      <c r="BG65" s="232"/>
      <c r="BH65" s="264"/>
      <c r="BI65" s="257"/>
      <c r="BJ65" s="258"/>
      <c r="BK65" s="258"/>
      <c r="BL65" s="258"/>
      <c r="BM65" s="259"/>
      <c r="BN65" s="263">
        <v>7</v>
      </c>
      <c r="BO65" s="232"/>
      <c r="BP65" s="232"/>
      <c r="BQ65" s="232"/>
      <c r="BR65" s="264"/>
    </row>
    <row r="66" spans="6:70" ht="20.100000000000001" customHeight="1">
      <c r="F66" s="263"/>
      <c r="G66" s="232"/>
      <c r="H66" s="232"/>
      <c r="I66" s="232"/>
      <c r="J66" s="264"/>
      <c r="K66" s="257"/>
      <c r="L66" s="258"/>
      <c r="M66" s="258"/>
      <c r="N66" s="258"/>
      <c r="O66" s="259"/>
      <c r="P66" s="263"/>
      <c r="Q66" s="232"/>
      <c r="R66" s="232"/>
      <c r="S66" s="232"/>
      <c r="T66" s="264"/>
      <c r="U66" s="257"/>
      <c r="V66" s="258"/>
      <c r="W66" s="258"/>
      <c r="X66" s="258"/>
      <c r="Y66" s="259"/>
      <c r="Z66" s="263"/>
      <c r="AA66" s="232"/>
      <c r="AB66" s="232"/>
      <c r="AC66" s="232"/>
      <c r="AD66" s="264"/>
      <c r="AE66" s="257"/>
      <c r="AF66" s="258"/>
      <c r="AG66" s="258"/>
      <c r="AH66" s="258"/>
      <c r="AI66" s="259"/>
      <c r="AJ66" s="263"/>
      <c r="AK66" s="232"/>
      <c r="AL66" s="232"/>
      <c r="AM66" s="232"/>
      <c r="AN66" s="264"/>
      <c r="AO66" s="257"/>
      <c r="AP66" s="258"/>
      <c r="AQ66" s="258"/>
      <c r="AR66" s="258"/>
      <c r="AS66" s="259"/>
      <c r="AT66" s="263"/>
      <c r="AU66" s="232"/>
      <c r="AV66" s="232"/>
      <c r="AW66" s="232"/>
      <c r="AX66" s="264"/>
      <c r="AY66" s="257"/>
      <c r="AZ66" s="258"/>
      <c r="BA66" s="258"/>
      <c r="BB66" s="258"/>
      <c r="BC66" s="259"/>
      <c r="BD66" s="263"/>
      <c r="BE66" s="232"/>
      <c r="BF66" s="232"/>
      <c r="BG66" s="232"/>
      <c r="BH66" s="264"/>
      <c r="BI66" s="257"/>
      <c r="BJ66" s="258"/>
      <c r="BK66" s="258"/>
      <c r="BL66" s="258"/>
      <c r="BM66" s="259"/>
      <c r="BN66" s="263"/>
      <c r="BO66" s="232"/>
      <c r="BP66" s="232"/>
      <c r="BQ66" s="232"/>
      <c r="BR66" s="264"/>
    </row>
    <row r="67" spans="6:70" ht="20.100000000000001" customHeight="1">
      <c r="F67" s="263"/>
      <c r="G67" s="232"/>
      <c r="H67" s="232"/>
      <c r="I67" s="232"/>
      <c r="J67" s="264"/>
      <c r="K67" s="257"/>
      <c r="L67" s="258"/>
      <c r="M67" s="258"/>
      <c r="N67" s="258"/>
      <c r="O67" s="259"/>
      <c r="P67" s="263"/>
      <c r="Q67" s="232"/>
      <c r="R67" s="232"/>
      <c r="S67" s="232"/>
      <c r="T67" s="264"/>
      <c r="U67" s="257"/>
      <c r="V67" s="258"/>
      <c r="W67" s="258"/>
      <c r="X67" s="258"/>
      <c r="Y67" s="259"/>
      <c r="Z67" s="263"/>
      <c r="AA67" s="232"/>
      <c r="AB67" s="232"/>
      <c r="AC67" s="232"/>
      <c r="AD67" s="264"/>
      <c r="AE67" s="257"/>
      <c r="AF67" s="258"/>
      <c r="AG67" s="258"/>
      <c r="AH67" s="258"/>
      <c r="AI67" s="259"/>
      <c r="AJ67" s="263"/>
      <c r="AK67" s="232"/>
      <c r="AL67" s="232"/>
      <c r="AM67" s="232"/>
      <c r="AN67" s="264"/>
      <c r="AO67" s="257"/>
      <c r="AP67" s="258"/>
      <c r="AQ67" s="258"/>
      <c r="AR67" s="258"/>
      <c r="AS67" s="259"/>
      <c r="AT67" s="263"/>
      <c r="AU67" s="232"/>
      <c r="AV67" s="232"/>
      <c r="AW67" s="232"/>
      <c r="AX67" s="264"/>
      <c r="AY67" s="257"/>
      <c r="AZ67" s="258"/>
      <c r="BA67" s="258"/>
      <c r="BB67" s="258"/>
      <c r="BC67" s="259"/>
      <c r="BD67" s="263"/>
      <c r="BE67" s="232"/>
      <c r="BF67" s="232"/>
      <c r="BG67" s="232"/>
      <c r="BH67" s="264"/>
      <c r="BI67" s="257"/>
      <c r="BJ67" s="258"/>
      <c r="BK67" s="258"/>
      <c r="BL67" s="258"/>
      <c r="BM67" s="259"/>
      <c r="BN67" s="263"/>
      <c r="BO67" s="232"/>
      <c r="BP67" s="232"/>
      <c r="BQ67" s="232"/>
      <c r="BR67" s="264"/>
    </row>
    <row r="68" spans="6:70" ht="20.100000000000001" customHeight="1">
      <c r="F68" s="263"/>
      <c r="G68" s="232"/>
      <c r="H68" s="232"/>
      <c r="I68" s="232"/>
      <c r="J68" s="264"/>
      <c r="K68" s="257"/>
      <c r="L68" s="258"/>
      <c r="M68" s="258"/>
      <c r="N68" s="258"/>
      <c r="O68" s="259"/>
      <c r="P68" s="263"/>
      <c r="Q68" s="232"/>
      <c r="R68" s="232"/>
      <c r="S68" s="232"/>
      <c r="T68" s="264"/>
      <c r="U68" s="257"/>
      <c r="V68" s="258"/>
      <c r="W68" s="258"/>
      <c r="X68" s="258"/>
      <c r="Y68" s="259"/>
      <c r="Z68" s="263"/>
      <c r="AA68" s="232"/>
      <c r="AB68" s="232"/>
      <c r="AC68" s="232"/>
      <c r="AD68" s="264"/>
      <c r="AE68" s="257"/>
      <c r="AF68" s="258"/>
      <c r="AG68" s="258"/>
      <c r="AH68" s="258"/>
      <c r="AI68" s="259"/>
      <c r="AJ68" s="263"/>
      <c r="AK68" s="232"/>
      <c r="AL68" s="232"/>
      <c r="AM68" s="232"/>
      <c r="AN68" s="264"/>
      <c r="AO68" s="257"/>
      <c r="AP68" s="258"/>
      <c r="AQ68" s="258"/>
      <c r="AR68" s="258"/>
      <c r="AS68" s="259"/>
      <c r="AT68" s="263"/>
      <c r="AU68" s="232"/>
      <c r="AV68" s="232"/>
      <c r="AW68" s="232"/>
      <c r="AX68" s="264"/>
      <c r="AY68" s="257"/>
      <c r="AZ68" s="258"/>
      <c r="BA68" s="258"/>
      <c r="BB68" s="258"/>
      <c r="BC68" s="259"/>
      <c r="BD68" s="263"/>
      <c r="BE68" s="232"/>
      <c r="BF68" s="232"/>
      <c r="BG68" s="232"/>
      <c r="BH68" s="264"/>
      <c r="BI68" s="257"/>
      <c r="BJ68" s="258"/>
      <c r="BK68" s="258"/>
      <c r="BL68" s="258"/>
      <c r="BM68" s="259"/>
      <c r="BN68" s="263"/>
      <c r="BO68" s="232"/>
      <c r="BP68" s="232"/>
      <c r="BQ68" s="232"/>
      <c r="BR68" s="264"/>
    </row>
    <row r="69" spans="6:70" ht="20.100000000000001" customHeight="1" thickBot="1">
      <c r="F69" s="265"/>
      <c r="G69" s="266"/>
      <c r="H69" s="266"/>
      <c r="I69" s="266"/>
      <c r="J69" s="267"/>
      <c r="K69" s="260"/>
      <c r="L69" s="261"/>
      <c r="M69" s="261"/>
      <c r="N69" s="261"/>
      <c r="O69" s="262"/>
      <c r="P69" s="265"/>
      <c r="Q69" s="266"/>
      <c r="R69" s="266"/>
      <c r="S69" s="266"/>
      <c r="T69" s="267"/>
      <c r="U69" s="260"/>
      <c r="V69" s="261"/>
      <c r="W69" s="261"/>
      <c r="X69" s="261"/>
      <c r="Y69" s="262"/>
      <c r="Z69" s="265"/>
      <c r="AA69" s="266"/>
      <c r="AB69" s="266"/>
      <c r="AC69" s="266"/>
      <c r="AD69" s="267"/>
      <c r="AE69" s="260"/>
      <c r="AF69" s="261"/>
      <c r="AG69" s="261"/>
      <c r="AH69" s="261"/>
      <c r="AI69" s="262"/>
      <c r="AJ69" s="265"/>
      <c r="AK69" s="266"/>
      <c r="AL69" s="266"/>
      <c r="AM69" s="266"/>
      <c r="AN69" s="267"/>
      <c r="AO69" s="260"/>
      <c r="AP69" s="261"/>
      <c r="AQ69" s="261"/>
      <c r="AR69" s="261"/>
      <c r="AS69" s="262"/>
      <c r="AT69" s="265"/>
      <c r="AU69" s="266"/>
      <c r="AV69" s="266"/>
      <c r="AW69" s="266"/>
      <c r="AX69" s="267"/>
      <c r="AY69" s="260"/>
      <c r="AZ69" s="261"/>
      <c r="BA69" s="261"/>
      <c r="BB69" s="261"/>
      <c r="BC69" s="262"/>
      <c r="BD69" s="265"/>
      <c r="BE69" s="266"/>
      <c r="BF69" s="266"/>
      <c r="BG69" s="266"/>
      <c r="BH69" s="267"/>
      <c r="BI69" s="260"/>
      <c r="BJ69" s="261"/>
      <c r="BK69" s="261"/>
      <c r="BL69" s="261"/>
      <c r="BM69" s="262"/>
      <c r="BN69" s="265"/>
      <c r="BO69" s="266"/>
      <c r="BP69" s="266"/>
      <c r="BQ69" s="266"/>
      <c r="BR69" s="267"/>
    </row>
    <row r="70" spans="6:70" ht="20.100000000000001" customHeight="1" thickTop="1">
      <c r="F70" s="268">
        <v>1</v>
      </c>
      <c r="G70" s="269"/>
      <c r="H70" s="269"/>
      <c r="I70" s="269"/>
      <c r="J70" s="270"/>
      <c r="K70" s="268">
        <v>2</v>
      </c>
      <c r="L70" s="269"/>
      <c r="M70" s="269"/>
      <c r="N70" s="269"/>
      <c r="O70" s="270"/>
      <c r="P70" s="268">
        <v>3</v>
      </c>
      <c r="Q70" s="269"/>
      <c r="R70" s="269"/>
      <c r="S70" s="269"/>
      <c r="T70" s="270"/>
      <c r="U70" s="268">
        <v>4</v>
      </c>
      <c r="V70" s="269"/>
      <c r="W70" s="269"/>
      <c r="X70" s="269"/>
      <c r="Y70" s="270"/>
      <c r="Z70" s="268">
        <v>5</v>
      </c>
      <c r="AA70" s="269"/>
      <c r="AB70" s="269"/>
      <c r="AC70" s="269"/>
      <c r="AD70" s="270"/>
      <c r="AE70" s="268">
        <v>6</v>
      </c>
      <c r="AF70" s="269"/>
      <c r="AG70" s="269"/>
      <c r="AH70" s="269"/>
      <c r="AI70" s="270"/>
      <c r="AJ70" s="268">
        <v>7</v>
      </c>
      <c r="AK70" s="269"/>
      <c r="AL70" s="269"/>
      <c r="AM70" s="269"/>
      <c r="AN70" s="270"/>
      <c r="AO70" s="268">
        <v>8</v>
      </c>
      <c r="AP70" s="269"/>
      <c r="AQ70" s="269"/>
      <c r="AR70" s="269"/>
      <c r="AS70" s="270"/>
      <c r="AT70" s="268">
        <v>9</v>
      </c>
      <c r="AU70" s="269"/>
      <c r="AV70" s="269"/>
      <c r="AW70" s="269"/>
      <c r="AX70" s="270"/>
      <c r="AY70" s="268">
        <v>10</v>
      </c>
      <c r="AZ70" s="269"/>
      <c r="BA70" s="269"/>
      <c r="BB70" s="269"/>
      <c r="BC70" s="270"/>
      <c r="BD70" s="268">
        <v>11</v>
      </c>
      <c r="BE70" s="269"/>
      <c r="BF70" s="269"/>
      <c r="BG70" s="269"/>
      <c r="BH70" s="270"/>
      <c r="BI70" s="268">
        <v>12</v>
      </c>
      <c r="BJ70" s="269"/>
      <c r="BK70" s="269"/>
      <c r="BL70" s="269"/>
      <c r="BM70" s="270"/>
      <c r="BN70" s="268">
        <v>13</v>
      </c>
      <c r="BO70" s="269"/>
      <c r="BP70" s="269"/>
      <c r="BQ70" s="269"/>
      <c r="BR70" s="270"/>
    </row>
    <row r="71" spans="6:70" ht="20.100000000000001" customHeight="1">
      <c r="F71" s="271"/>
      <c r="G71" s="272"/>
      <c r="H71" s="272"/>
      <c r="I71" s="272"/>
      <c r="J71" s="273"/>
      <c r="K71" s="271"/>
      <c r="L71" s="272"/>
      <c r="M71" s="272"/>
      <c r="N71" s="272"/>
      <c r="O71" s="273"/>
      <c r="P71" s="271"/>
      <c r="Q71" s="272"/>
      <c r="R71" s="272"/>
      <c r="S71" s="272"/>
      <c r="T71" s="273"/>
      <c r="U71" s="271"/>
      <c r="V71" s="272"/>
      <c r="W71" s="272"/>
      <c r="X71" s="272"/>
      <c r="Y71" s="273"/>
      <c r="Z71" s="271"/>
      <c r="AA71" s="272"/>
      <c r="AB71" s="272"/>
      <c r="AC71" s="272"/>
      <c r="AD71" s="273"/>
      <c r="AE71" s="271"/>
      <c r="AF71" s="272"/>
      <c r="AG71" s="272"/>
      <c r="AH71" s="272"/>
      <c r="AI71" s="273"/>
      <c r="AJ71" s="271"/>
      <c r="AK71" s="272"/>
      <c r="AL71" s="272"/>
      <c r="AM71" s="272"/>
      <c r="AN71" s="273"/>
      <c r="AO71" s="271"/>
      <c r="AP71" s="272"/>
      <c r="AQ71" s="272"/>
      <c r="AR71" s="272"/>
      <c r="AS71" s="273"/>
      <c r="AT71" s="271"/>
      <c r="AU71" s="272"/>
      <c r="AV71" s="272"/>
      <c r="AW71" s="272"/>
      <c r="AX71" s="273"/>
      <c r="AY71" s="271"/>
      <c r="AZ71" s="272"/>
      <c r="BA71" s="272"/>
      <c r="BB71" s="272"/>
      <c r="BC71" s="273"/>
      <c r="BD71" s="271"/>
      <c r="BE71" s="272"/>
      <c r="BF71" s="272"/>
      <c r="BG71" s="272"/>
      <c r="BH71" s="273"/>
      <c r="BI71" s="271"/>
      <c r="BJ71" s="272"/>
      <c r="BK71" s="272"/>
      <c r="BL71" s="272"/>
      <c r="BM71" s="273"/>
      <c r="BN71" s="271"/>
      <c r="BO71" s="272"/>
      <c r="BP71" s="272"/>
      <c r="BQ71" s="272"/>
      <c r="BR71" s="273"/>
    </row>
    <row r="72" spans="6:70" ht="20.100000000000001" customHeight="1">
      <c r="F72" s="271"/>
      <c r="G72" s="272"/>
      <c r="H72" s="272"/>
      <c r="I72" s="272"/>
      <c r="J72" s="273"/>
      <c r="K72" s="271"/>
      <c r="L72" s="272"/>
      <c r="M72" s="272"/>
      <c r="N72" s="272"/>
      <c r="O72" s="273"/>
      <c r="P72" s="271"/>
      <c r="Q72" s="272"/>
      <c r="R72" s="272"/>
      <c r="S72" s="272"/>
      <c r="T72" s="273"/>
      <c r="U72" s="271"/>
      <c r="V72" s="272"/>
      <c r="W72" s="272"/>
      <c r="X72" s="272"/>
      <c r="Y72" s="273"/>
      <c r="Z72" s="271"/>
      <c r="AA72" s="272"/>
      <c r="AB72" s="272"/>
      <c r="AC72" s="272"/>
      <c r="AD72" s="273"/>
      <c r="AE72" s="271"/>
      <c r="AF72" s="272"/>
      <c r="AG72" s="272"/>
      <c r="AH72" s="272"/>
      <c r="AI72" s="273"/>
      <c r="AJ72" s="271"/>
      <c r="AK72" s="272"/>
      <c r="AL72" s="272"/>
      <c r="AM72" s="272"/>
      <c r="AN72" s="273"/>
      <c r="AO72" s="271"/>
      <c r="AP72" s="272"/>
      <c r="AQ72" s="272"/>
      <c r="AR72" s="272"/>
      <c r="AS72" s="273"/>
      <c r="AT72" s="271"/>
      <c r="AU72" s="272"/>
      <c r="AV72" s="272"/>
      <c r="AW72" s="272"/>
      <c r="AX72" s="273"/>
      <c r="AY72" s="271"/>
      <c r="AZ72" s="272"/>
      <c r="BA72" s="272"/>
      <c r="BB72" s="272"/>
      <c r="BC72" s="273"/>
      <c r="BD72" s="271"/>
      <c r="BE72" s="272"/>
      <c r="BF72" s="272"/>
      <c r="BG72" s="272"/>
      <c r="BH72" s="273"/>
      <c r="BI72" s="271"/>
      <c r="BJ72" s="272"/>
      <c r="BK72" s="272"/>
      <c r="BL72" s="272"/>
      <c r="BM72" s="273"/>
      <c r="BN72" s="271"/>
      <c r="BO72" s="272"/>
      <c r="BP72" s="272"/>
      <c r="BQ72" s="272"/>
      <c r="BR72" s="273"/>
    </row>
    <row r="73" spans="6:70" ht="20.100000000000001" customHeight="1">
      <c r="F73" s="271"/>
      <c r="G73" s="272"/>
      <c r="H73" s="272"/>
      <c r="I73" s="272"/>
      <c r="J73" s="273"/>
      <c r="K73" s="271"/>
      <c r="L73" s="272"/>
      <c r="M73" s="272"/>
      <c r="N73" s="272"/>
      <c r="O73" s="273"/>
      <c r="P73" s="271"/>
      <c r="Q73" s="272"/>
      <c r="R73" s="272"/>
      <c r="S73" s="272"/>
      <c r="T73" s="273"/>
      <c r="U73" s="271"/>
      <c r="V73" s="272"/>
      <c r="W73" s="272"/>
      <c r="X73" s="272"/>
      <c r="Y73" s="273"/>
      <c r="Z73" s="271"/>
      <c r="AA73" s="272"/>
      <c r="AB73" s="272"/>
      <c r="AC73" s="272"/>
      <c r="AD73" s="273"/>
      <c r="AE73" s="271"/>
      <c r="AF73" s="272"/>
      <c r="AG73" s="272"/>
      <c r="AH73" s="272"/>
      <c r="AI73" s="273"/>
      <c r="AJ73" s="271"/>
      <c r="AK73" s="272"/>
      <c r="AL73" s="272"/>
      <c r="AM73" s="272"/>
      <c r="AN73" s="273"/>
      <c r="AO73" s="271"/>
      <c r="AP73" s="272"/>
      <c r="AQ73" s="272"/>
      <c r="AR73" s="272"/>
      <c r="AS73" s="273"/>
      <c r="AT73" s="271"/>
      <c r="AU73" s="272"/>
      <c r="AV73" s="272"/>
      <c r="AW73" s="272"/>
      <c r="AX73" s="273"/>
      <c r="AY73" s="271"/>
      <c r="AZ73" s="272"/>
      <c r="BA73" s="272"/>
      <c r="BB73" s="272"/>
      <c r="BC73" s="273"/>
      <c r="BD73" s="271"/>
      <c r="BE73" s="272"/>
      <c r="BF73" s="272"/>
      <c r="BG73" s="272"/>
      <c r="BH73" s="273"/>
      <c r="BI73" s="271"/>
      <c r="BJ73" s="272"/>
      <c r="BK73" s="272"/>
      <c r="BL73" s="272"/>
      <c r="BM73" s="273"/>
      <c r="BN73" s="271"/>
      <c r="BO73" s="272"/>
      <c r="BP73" s="272"/>
      <c r="BQ73" s="272"/>
      <c r="BR73" s="273"/>
    </row>
    <row r="74" spans="6:70" ht="20.100000000000001" customHeight="1" thickBot="1">
      <c r="F74" s="274"/>
      <c r="G74" s="275"/>
      <c r="H74" s="275"/>
      <c r="I74" s="275"/>
      <c r="J74" s="276"/>
      <c r="K74" s="274"/>
      <c r="L74" s="275"/>
      <c r="M74" s="275"/>
      <c r="N74" s="275"/>
      <c r="O74" s="276"/>
      <c r="P74" s="274"/>
      <c r="Q74" s="275"/>
      <c r="R74" s="275"/>
      <c r="S74" s="275"/>
      <c r="T74" s="276"/>
      <c r="U74" s="274"/>
      <c r="V74" s="275"/>
      <c r="W74" s="275"/>
      <c r="X74" s="275"/>
      <c r="Y74" s="276"/>
      <c r="Z74" s="274"/>
      <c r="AA74" s="275"/>
      <c r="AB74" s="275"/>
      <c r="AC74" s="275"/>
      <c r="AD74" s="276"/>
      <c r="AE74" s="274"/>
      <c r="AF74" s="275"/>
      <c r="AG74" s="275"/>
      <c r="AH74" s="275"/>
      <c r="AI74" s="276"/>
      <c r="AJ74" s="274"/>
      <c r="AK74" s="275"/>
      <c r="AL74" s="275"/>
      <c r="AM74" s="275"/>
      <c r="AN74" s="276"/>
      <c r="AO74" s="274"/>
      <c r="AP74" s="275"/>
      <c r="AQ74" s="275"/>
      <c r="AR74" s="275"/>
      <c r="AS74" s="276"/>
      <c r="AT74" s="274"/>
      <c r="AU74" s="275"/>
      <c r="AV74" s="275"/>
      <c r="AW74" s="275"/>
      <c r="AX74" s="276"/>
      <c r="AY74" s="274"/>
      <c r="AZ74" s="275"/>
      <c r="BA74" s="275"/>
      <c r="BB74" s="275"/>
      <c r="BC74" s="276"/>
      <c r="BD74" s="274"/>
      <c r="BE74" s="275"/>
      <c r="BF74" s="275"/>
      <c r="BG74" s="275"/>
      <c r="BH74" s="276"/>
      <c r="BI74" s="274"/>
      <c r="BJ74" s="275"/>
      <c r="BK74" s="275"/>
      <c r="BL74" s="275"/>
      <c r="BM74" s="276"/>
      <c r="BN74" s="274"/>
      <c r="BO74" s="275"/>
      <c r="BP74" s="275"/>
      <c r="BQ74" s="275"/>
      <c r="BR74" s="276"/>
    </row>
    <row r="75" spans="6:70" ht="20.100000000000001" customHeight="1" thickTop="1"/>
  </sheetData>
  <mergeCells count="110">
    <mergeCell ref="P70:T74"/>
    <mergeCell ref="U70:Y74"/>
    <mergeCell ref="Z70:AD74"/>
    <mergeCell ref="AE70:AI74"/>
    <mergeCell ref="AY65:BC69"/>
    <mergeCell ref="BD65:BH69"/>
    <mergeCell ref="BI65:BM69"/>
    <mergeCell ref="BN65:BR69"/>
    <mergeCell ref="BS60:BW64"/>
    <mergeCell ref="BS55:BW59"/>
    <mergeCell ref="BN70:BR74"/>
    <mergeCell ref="F65:J69"/>
    <mergeCell ref="K65:O69"/>
    <mergeCell ref="P65:T69"/>
    <mergeCell ref="U65:Y69"/>
    <mergeCell ref="Z65:AD69"/>
    <mergeCell ref="AE65:AI69"/>
    <mergeCell ref="AJ65:AN69"/>
    <mergeCell ref="AO65:AS69"/>
    <mergeCell ref="AT65:AX69"/>
    <mergeCell ref="AJ70:AN74"/>
    <mergeCell ref="AO70:AS74"/>
    <mergeCell ref="AT70:AX74"/>
    <mergeCell ref="AY70:BC74"/>
    <mergeCell ref="BD70:BH74"/>
    <mergeCell ref="BI70:BM74"/>
    <mergeCell ref="F70:J74"/>
    <mergeCell ref="K70:O74"/>
    <mergeCell ref="BX55:CB59"/>
    <mergeCell ref="BX50:CB54"/>
    <mergeCell ref="BX45:CB49"/>
    <mergeCell ref="BX40:CB44"/>
    <mergeCell ref="BX35:CB39"/>
    <mergeCell ref="BX30:CB34"/>
    <mergeCell ref="BX25:CB29"/>
    <mergeCell ref="BX20:CB24"/>
    <mergeCell ref="BS50:BW54"/>
    <mergeCell ref="BS45:BW49"/>
    <mergeCell ref="BS40:BW44"/>
    <mergeCell ref="BS35:BW39"/>
    <mergeCell ref="BS30:BW34"/>
    <mergeCell ref="BS25:BW29"/>
    <mergeCell ref="A25:E29"/>
    <mergeCell ref="A20:E24"/>
    <mergeCell ref="F60:AA62"/>
    <mergeCell ref="H55:AC57"/>
    <mergeCell ref="J50:AH52"/>
    <mergeCell ref="L45:AI47"/>
    <mergeCell ref="CC30:CG34"/>
    <mergeCell ref="CC25:CG29"/>
    <mergeCell ref="CC20:CG24"/>
    <mergeCell ref="A60:E64"/>
    <mergeCell ref="A55:E59"/>
    <mergeCell ref="A50:E54"/>
    <mergeCell ref="A45:E49"/>
    <mergeCell ref="A40:E44"/>
    <mergeCell ref="A35:E39"/>
    <mergeCell ref="A30:E34"/>
    <mergeCell ref="CC60:CG64"/>
    <mergeCell ref="CC55:CG59"/>
    <mergeCell ref="CC50:CG54"/>
    <mergeCell ref="CC45:CG49"/>
    <mergeCell ref="CC40:CG44"/>
    <mergeCell ref="CC35:CG39"/>
    <mergeCell ref="BS20:BW24"/>
    <mergeCell ref="BX60:CB64"/>
    <mergeCell ref="BI60:BR61"/>
    <mergeCell ref="H59:Q59"/>
    <mergeCell ref="AT55:AX59"/>
    <mergeCell ref="AY55:BC59"/>
    <mergeCell ref="BI55:BR56"/>
    <mergeCell ref="V20:AS22"/>
    <mergeCell ref="BD63:BR64"/>
    <mergeCell ref="BD58:BR59"/>
    <mergeCell ref="BD53:BR54"/>
    <mergeCell ref="BD48:BR49"/>
    <mergeCell ref="BD43:BR44"/>
    <mergeCell ref="BD38:BR39"/>
    <mergeCell ref="BD33:BR34"/>
    <mergeCell ref="BD28:BR29"/>
    <mergeCell ref="BD23:BR24"/>
    <mergeCell ref="N40:AI42"/>
    <mergeCell ref="R30:AP32"/>
    <mergeCell ref="T25:AS27"/>
    <mergeCell ref="R34:AF34"/>
    <mergeCell ref="AJ33:AN34"/>
    <mergeCell ref="AT30:AX34"/>
    <mergeCell ref="AY30:BC34"/>
    <mergeCell ref="BI30:BR31"/>
    <mergeCell ref="T29:AA29"/>
    <mergeCell ref="F64:O64"/>
    <mergeCell ref="AY25:BC29"/>
    <mergeCell ref="BI40:BR41"/>
    <mergeCell ref="AT40:AX44"/>
    <mergeCell ref="AY40:BC44"/>
    <mergeCell ref="N44:AH44"/>
    <mergeCell ref="P35:AM37"/>
    <mergeCell ref="P39:AB39"/>
    <mergeCell ref="AT35:AX39"/>
    <mergeCell ref="AY35:BC39"/>
    <mergeCell ref="AT50:AX54"/>
    <mergeCell ref="AY50:BC54"/>
    <mergeCell ref="J54:R54"/>
    <mergeCell ref="BI50:BR51"/>
    <mergeCell ref="L49:Z49"/>
    <mergeCell ref="AT45:AX49"/>
    <mergeCell ref="AY45:BC49"/>
    <mergeCell ref="BI45:BR46"/>
    <mergeCell ref="AT60:AX64"/>
    <mergeCell ref="AY60:BC64"/>
  </mergeCells>
  <hyperlinks>
    <hyperlink ref="BI30" r:id="rId1" display="WWW.COM"/>
  </hyperlinks>
  <pageMargins left="0" right="0" top="0" bottom="0" header="0" footer="0"/>
  <pageSetup paperSize="9" scale="51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75"/>
  <sheetViews>
    <sheetView tabSelected="1" topLeftCell="F8" workbookViewId="0">
      <selection activeCell="AO14" sqref="AO14"/>
    </sheetView>
  </sheetViews>
  <sheetFormatPr defaultColWidth="3.28515625" defaultRowHeight="20.100000000000001" customHeight="1"/>
  <cols>
    <col min="1" max="5" width="3.28515625" style="4"/>
    <col min="6" max="6" width="3.28515625" style="4" customWidth="1"/>
    <col min="7" max="7" width="3.5703125" style="4" bestFit="1" customWidth="1"/>
    <col min="8" max="15" width="3.28515625" style="4"/>
    <col min="16" max="16" width="4.140625" style="4" bestFit="1" customWidth="1"/>
    <col min="17" max="25" width="3.28515625" style="4"/>
    <col min="26" max="26" width="4.140625" style="4" bestFit="1" customWidth="1"/>
    <col min="27" max="54" width="3.28515625" style="4"/>
    <col min="55" max="55" width="3.7109375" style="4" customWidth="1"/>
    <col min="56" max="16384" width="3.28515625" style="4"/>
  </cols>
  <sheetData>
    <row r="1" spans="56:85" ht="20.100000000000001" customHeight="1">
      <c r="BD1" s="329">
        <f>DATE(2011,10,28)</f>
        <v>40844</v>
      </c>
      <c r="BE1" s="330"/>
      <c r="BF1" s="330"/>
      <c r="BG1" s="331"/>
      <c r="CC1" s="2"/>
      <c r="CD1" s="2"/>
      <c r="CE1" s="2"/>
      <c r="CF1" s="2"/>
      <c r="CG1" s="2"/>
    </row>
    <row r="2" spans="56:85" ht="20.100000000000001" customHeight="1">
      <c r="CC2" s="2"/>
      <c r="CD2" s="2"/>
      <c r="CE2" s="2"/>
      <c r="CF2" s="2"/>
      <c r="CG2" s="2"/>
    </row>
    <row r="3" spans="56:85" ht="20.100000000000001" customHeight="1">
      <c r="CC3" s="2"/>
      <c r="CD3" s="2"/>
      <c r="CE3" s="2"/>
      <c r="CF3" s="2"/>
      <c r="CG3" s="2"/>
    </row>
    <row r="4" spans="56:85" ht="20.100000000000001" customHeight="1">
      <c r="CC4" s="2"/>
      <c r="CD4" s="2"/>
      <c r="CE4" s="2"/>
      <c r="CF4" s="2"/>
      <c r="CG4" s="2"/>
    </row>
    <row r="5" spans="56:85" ht="20.100000000000001" customHeight="1">
      <c r="CC5" s="2"/>
      <c r="CD5" s="2"/>
      <c r="CE5" s="2"/>
      <c r="CF5" s="2"/>
      <c r="CG5" s="2"/>
    </row>
    <row r="17" spans="1:85" ht="20.100000000000001" customHeight="1">
      <c r="AK17" s="347"/>
      <c r="AL17" s="347"/>
      <c r="AM17" s="347"/>
      <c r="AN17" s="347"/>
      <c r="AO17" s="347"/>
      <c r="AR17" s="347"/>
      <c r="AS17" s="347"/>
      <c r="AT17" s="347"/>
      <c r="AU17" s="347"/>
      <c r="AV17" s="347"/>
      <c r="AW17" s="347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  <c r="BS17" s="346"/>
      <c r="BT17" s="346"/>
      <c r="BU17" s="346"/>
      <c r="BV17" s="346"/>
      <c r="BW17" s="346"/>
    </row>
    <row r="18" spans="1:85" ht="20.100000000000001" customHeight="1">
      <c r="A18" s="335" t="s">
        <v>169</v>
      </c>
      <c r="B18" s="335"/>
      <c r="C18" s="335"/>
      <c r="D18" s="335"/>
      <c r="E18" s="335"/>
      <c r="F18" s="335">
        <v>2011</v>
      </c>
      <c r="G18" s="335"/>
      <c r="H18" s="335"/>
      <c r="I18" s="335"/>
      <c r="K18" s="335" t="s">
        <v>170</v>
      </c>
      <c r="L18" s="335"/>
      <c r="M18" s="335"/>
      <c r="N18" s="335"/>
      <c r="O18" s="335"/>
      <c r="P18" s="336">
        <v>10</v>
      </c>
      <c r="U18" s="335" t="s">
        <v>171</v>
      </c>
      <c r="V18" s="335"/>
      <c r="W18" s="335"/>
      <c r="Z18" s="336">
        <v>28</v>
      </c>
    </row>
    <row r="19" spans="1:85" ht="20.100000000000001" customHeight="1" thickBot="1"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85" ht="20.100000000000001" customHeight="1" thickTop="1">
      <c r="A20" s="200">
        <v>9</v>
      </c>
      <c r="B20" s="201"/>
      <c r="C20" s="201"/>
      <c r="D20" s="201"/>
      <c r="E20" s="202"/>
      <c r="F20" s="292" t="s">
        <v>77</v>
      </c>
      <c r="G20" s="76"/>
      <c r="H20" s="76"/>
      <c r="I20" s="76"/>
      <c r="J20" s="293"/>
      <c r="K20" s="408" t="s">
        <v>186</v>
      </c>
      <c r="L20" s="409"/>
      <c r="M20" s="409"/>
      <c r="N20" s="409"/>
      <c r="O20" s="410"/>
      <c r="P20" s="292" t="s">
        <v>77</v>
      </c>
      <c r="Q20" s="76"/>
      <c r="R20" s="76"/>
      <c r="S20" s="76"/>
      <c r="T20" s="293"/>
      <c r="U20" s="408" t="s">
        <v>186</v>
      </c>
      <c r="V20" s="409"/>
      <c r="W20" s="409"/>
      <c r="X20" s="409"/>
      <c r="Y20" s="410"/>
      <c r="Z20" s="292" t="s">
        <v>77</v>
      </c>
      <c r="AA20" s="76"/>
      <c r="AB20" s="76"/>
      <c r="AC20" s="76"/>
      <c r="AD20" s="293"/>
      <c r="AE20" s="408" t="s">
        <v>186</v>
      </c>
      <c r="AF20" s="409"/>
      <c r="AG20" s="409"/>
      <c r="AH20" s="409"/>
      <c r="AI20" s="410"/>
      <c r="AJ20" s="292" t="s">
        <v>77</v>
      </c>
      <c r="AK20" s="76"/>
      <c r="AL20" s="76"/>
      <c r="AM20" s="76"/>
      <c r="AN20" s="293"/>
      <c r="AO20" s="408" t="s">
        <v>186</v>
      </c>
      <c r="AP20" s="409"/>
      <c r="AQ20" s="409"/>
      <c r="AR20" s="409"/>
      <c r="AS20" s="410"/>
      <c r="AT20" s="292" t="s">
        <v>77</v>
      </c>
      <c r="AU20" s="76"/>
      <c r="AV20" s="76"/>
      <c r="AW20" s="76"/>
      <c r="AX20" s="293"/>
      <c r="AY20" s="408" t="s">
        <v>186</v>
      </c>
      <c r="AZ20" s="409"/>
      <c r="BA20" s="409"/>
      <c r="BB20" s="409"/>
      <c r="BC20" s="410"/>
      <c r="BD20" s="292" t="s">
        <v>77</v>
      </c>
      <c r="BE20" s="76"/>
      <c r="BF20" s="76"/>
      <c r="BG20" s="76"/>
      <c r="BH20" s="293"/>
      <c r="BI20" s="408" t="s">
        <v>186</v>
      </c>
      <c r="BJ20" s="409"/>
      <c r="BK20" s="409"/>
      <c r="BL20" s="409"/>
      <c r="BM20" s="410"/>
      <c r="BN20" s="292" t="s">
        <v>77</v>
      </c>
      <c r="BO20" s="76"/>
      <c r="BP20" s="76"/>
      <c r="BQ20" s="76"/>
      <c r="BR20" s="293"/>
      <c r="BS20" s="222" t="s">
        <v>1</v>
      </c>
      <c r="BT20" s="222"/>
      <c r="BU20" s="222"/>
      <c r="BV20" s="222"/>
      <c r="BW20" s="223"/>
      <c r="BX20" s="237">
        <v>9</v>
      </c>
      <c r="BY20" s="238"/>
      <c r="BZ20" s="238"/>
      <c r="CA20" s="238"/>
      <c r="CB20" s="239"/>
      <c r="CC20" s="213" t="s">
        <v>28</v>
      </c>
      <c r="CD20" s="214"/>
      <c r="CE20" s="214"/>
      <c r="CF20" s="214"/>
      <c r="CG20" s="215"/>
    </row>
    <row r="21" spans="1:85" ht="20.100000000000001" customHeight="1">
      <c r="A21" s="203"/>
      <c r="B21" s="204"/>
      <c r="C21" s="204"/>
      <c r="D21" s="204"/>
      <c r="E21" s="205"/>
      <c r="F21" s="337" t="s">
        <v>172</v>
      </c>
      <c r="G21" s="338"/>
      <c r="H21" s="338"/>
      <c r="I21" s="338"/>
      <c r="J21" s="339"/>
      <c r="K21" s="337" t="s">
        <v>173</v>
      </c>
      <c r="L21" s="338"/>
      <c r="M21" s="338"/>
      <c r="N21" s="338"/>
      <c r="O21" s="339"/>
      <c r="P21" s="337" t="s">
        <v>174</v>
      </c>
      <c r="Q21" s="338"/>
      <c r="R21" s="338"/>
      <c r="S21" s="338"/>
      <c r="T21" s="339"/>
      <c r="U21" s="337" t="s">
        <v>175</v>
      </c>
      <c r="V21" s="338"/>
      <c r="W21" s="338"/>
      <c r="X21" s="338"/>
      <c r="Y21" s="339"/>
      <c r="Z21" s="337" t="s">
        <v>176</v>
      </c>
      <c r="AA21" s="338"/>
      <c r="AB21" s="338"/>
      <c r="AC21" s="338"/>
      <c r="AD21" s="339"/>
      <c r="AE21" s="337" t="s">
        <v>177</v>
      </c>
      <c r="AF21" s="338"/>
      <c r="AG21" s="338"/>
      <c r="AH21" s="338"/>
      <c r="AI21" s="339"/>
      <c r="AJ21" s="337" t="s">
        <v>178</v>
      </c>
      <c r="AK21" s="338"/>
      <c r="AL21" s="338"/>
      <c r="AM21" s="338"/>
      <c r="AN21" s="339"/>
      <c r="AO21" s="337" t="s">
        <v>179</v>
      </c>
      <c r="AP21" s="338"/>
      <c r="AQ21" s="338"/>
      <c r="AR21" s="338"/>
      <c r="AS21" s="339"/>
      <c r="AT21" s="337" t="s">
        <v>180</v>
      </c>
      <c r="AU21" s="338"/>
      <c r="AV21" s="338"/>
      <c r="AW21" s="338"/>
      <c r="AX21" s="339"/>
      <c r="AY21" s="337" t="s">
        <v>181</v>
      </c>
      <c r="AZ21" s="338"/>
      <c r="BA21" s="338"/>
      <c r="BB21" s="338"/>
      <c r="BC21" s="339"/>
      <c r="BD21" s="337" t="s">
        <v>182</v>
      </c>
      <c r="BE21" s="338"/>
      <c r="BF21" s="338"/>
      <c r="BG21" s="338"/>
      <c r="BH21" s="339"/>
      <c r="BI21" s="337" t="s">
        <v>183</v>
      </c>
      <c r="BJ21" s="338"/>
      <c r="BK21" s="338"/>
      <c r="BL21" s="338"/>
      <c r="BM21" s="339"/>
      <c r="BN21" s="337" t="s">
        <v>184</v>
      </c>
      <c r="BO21" s="338"/>
      <c r="BP21" s="338"/>
      <c r="BQ21" s="338"/>
      <c r="BR21" s="339"/>
      <c r="BS21" s="224"/>
      <c r="BT21" s="224"/>
      <c r="BU21" s="224"/>
      <c r="BV21" s="224"/>
      <c r="BW21" s="225"/>
      <c r="BX21" s="240"/>
      <c r="BY21" s="204"/>
      <c r="BZ21" s="204"/>
      <c r="CA21" s="204"/>
      <c r="CB21" s="241"/>
      <c r="CC21" s="216"/>
      <c r="CD21" s="217"/>
      <c r="CE21" s="217"/>
      <c r="CF21" s="217"/>
      <c r="CG21" s="218"/>
    </row>
    <row r="22" spans="1:85" ht="20.100000000000001" customHeight="1">
      <c r="A22" s="203"/>
      <c r="B22" s="204"/>
      <c r="C22" s="204"/>
      <c r="D22" s="204"/>
      <c r="E22" s="205"/>
      <c r="F22" s="332">
        <f>DATE(F18,P18,Z18)-20-20-20-20-20-20-20-20-20-20-20-20-20</f>
        <v>40584</v>
      </c>
      <c r="G22" s="333"/>
      <c r="H22" s="333"/>
      <c r="I22" s="333"/>
      <c r="J22" s="334"/>
      <c r="K22" s="332">
        <f>DATE(F18,P18,Z18)-20-20-20-20-20-20-20-20-20-20-20</f>
        <v>40624</v>
      </c>
      <c r="L22" s="333"/>
      <c r="M22" s="333"/>
      <c r="N22" s="333"/>
      <c r="O22" s="334"/>
      <c r="P22" s="332">
        <f>DATE(F18,P18,Z18)-20-20-20-20-20-20-20-20-20-20-20</f>
        <v>40624</v>
      </c>
      <c r="Q22" s="333"/>
      <c r="R22" s="333"/>
      <c r="S22" s="333"/>
      <c r="T22" s="334"/>
      <c r="U22" s="332">
        <f>DATE(F18,P18,Z18)-20-20-20-20-20-20-20-20-20-20</f>
        <v>40644</v>
      </c>
      <c r="V22" s="333"/>
      <c r="W22" s="333"/>
      <c r="X22" s="333"/>
      <c r="Y22" s="334"/>
      <c r="Z22" s="332">
        <f>DATE(F18,P18,Z18)-20-20-20-20-20-20-20-20-20</f>
        <v>40664</v>
      </c>
      <c r="AA22" s="333"/>
      <c r="AB22" s="333"/>
      <c r="AC22" s="333"/>
      <c r="AD22" s="334"/>
      <c r="AE22" s="332">
        <f>DATE(F18,P18,Z18)-20-20-20-20-20-20-20-20</f>
        <v>40684</v>
      </c>
      <c r="AF22" s="333"/>
      <c r="AG22" s="333"/>
      <c r="AH22" s="333"/>
      <c r="AI22" s="334"/>
      <c r="AJ22" s="332">
        <f>DATE(F18,P18,Z18)-20-20-20-20-20-20-20</f>
        <v>40704</v>
      </c>
      <c r="AK22" s="333"/>
      <c r="AL22" s="333"/>
      <c r="AM22" s="333"/>
      <c r="AN22" s="334"/>
      <c r="AO22" s="332">
        <f>DATE(F18,P18,Z18)-20-20-20-20-20-20</f>
        <v>40724</v>
      </c>
      <c r="AP22" s="333"/>
      <c r="AQ22" s="333"/>
      <c r="AR22" s="333"/>
      <c r="AS22" s="334"/>
      <c r="AT22" s="332">
        <f>DATE(F18,P18,Z18)-20-20-20-20-20</f>
        <v>40744</v>
      </c>
      <c r="AU22" s="333"/>
      <c r="AV22" s="333"/>
      <c r="AW22" s="333"/>
      <c r="AX22" s="334"/>
      <c r="AY22" s="332">
        <f>DATE(F18,P18,Z18)-20-20-20-20</f>
        <v>40764</v>
      </c>
      <c r="AZ22" s="333"/>
      <c r="BA22" s="333"/>
      <c r="BB22" s="333"/>
      <c r="BC22" s="334"/>
      <c r="BD22" s="332">
        <f>DATE(F18,P18,Z18)-20-20-20</f>
        <v>40784</v>
      </c>
      <c r="BE22" s="333"/>
      <c r="BF22" s="333"/>
      <c r="BG22" s="333"/>
      <c r="BH22" s="334"/>
      <c r="BI22" s="332">
        <f>DATE(F18,P18,Z18)-20-20</f>
        <v>40804</v>
      </c>
      <c r="BJ22" s="333"/>
      <c r="BK22" s="333"/>
      <c r="BL22" s="333"/>
      <c r="BM22" s="334"/>
      <c r="BN22" s="332">
        <f>DATE(F18,P18,Z18)-20</f>
        <v>40824</v>
      </c>
      <c r="BO22" s="333"/>
      <c r="BP22" s="333"/>
      <c r="BQ22" s="333"/>
      <c r="BR22" s="334"/>
      <c r="BS22" s="224"/>
      <c r="BT22" s="224"/>
      <c r="BU22" s="224"/>
      <c r="BV22" s="224"/>
      <c r="BW22" s="225"/>
      <c r="BX22" s="240"/>
      <c r="BY22" s="204"/>
      <c r="BZ22" s="204"/>
      <c r="CA22" s="204"/>
      <c r="CB22" s="241"/>
      <c r="CC22" s="216"/>
      <c r="CD22" s="217"/>
      <c r="CE22" s="217"/>
      <c r="CF22" s="217"/>
      <c r="CG22" s="218"/>
    </row>
    <row r="23" spans="1:85" ht="20.100000000000001" customHeight="1">
      <c r="A23" s="203"/>
      <c r="B23" s="204"/>
      <c r="C23" s="204"/>
      <c r="D23" s="204"/>
      <c r="E23" s="205"/>
      <c r="F23" s="41" t="s">
        <v>185</v>
      </c>
      <c r="G23" s="340">
        <f>SUM(13*20)/360</f>
        <v>0.72222222222222221</v>
      </c>
      <c r="H23" s="340"/>
      <c r="I23" s="340"/>
      <c r="J23" s="341"/>
      <c r="K23" s="41" t="s">
        <v>185</v>
      </c>
      <c r="L23" s="340">
        <f>SUM(12*20)/360</f>
        <v>0.66666666666666663</v>
      </c>
      <c r="M23" s="340"/>
      <c r="N23" s="340"/>
      <c r="O23" s="341"/>
      <c r="P23" s="41" t="s">
        <v>185</v>
      </c>
      <c r="Q23" s="340">
        <f>SUM(11*20)/360</f>
        <v>0.61111111111111116</v>
      </c>
      <c r="R23" s="340"/>
      <c r="S23" s="340"/>
      <c r="T23" s="341"/>
      <c r="U23" s="41" t="s">
        <v>185</v>
      </c>
      <c r="V23" s="340">
        <f>SUM(10*20)/360</f>
        <v>0.55555555555555558</v>
      </c>
      <c r="W23" s="340"/>
      <c r="X23" s="340"/>
      <c r="Y23" s="341"/>
      <c r="Z23" s="41" t="s">
        <v>185</v>
      </c>
      <c r="AA23" s="340">
        <f>SUM(9*20)/360</f>
        <v>0.5</v>
      </c>
      <c r="AB23" s="340"/>
      <c r="AC23" s="340"/>
      <c r="AD23" s="341"/>
      <c r="AE23" s="41" t="s">
        <v>185</v>
      </c>
      <c r="AF23" s="340">
        <f>SUM(8*20)/360</f>
        <v>0.44444444444444442</v>
      </c>
      <c r="AG23" s="340"/>
      <c r="AH23" s="340"/>
      <c r="AI23" s="341"/>
      <c r="AJ23" s="41" t="s">
        <v>185</v>
      </c>
      <c r="AK23" s="340">
        <f>SUM(7*20)/360</f>
        <v>0.3888888888888889</v>
      </c>
      <c r="AL23" s="340"/>
      <c r="AM23" s="340"/>
      <c r="AN23" s="341"/>
      <c r="AO23" s="41" t="s">
        <v>185</v>
      </c>
      <c r="AP23" s="340">
        <f>SUM(6*20)/360</f>
        <v>0.33333333333333331</v>
      </c>
      <c r="AQ23" s="340"/>
      <c r="AR23" s="340"/>
      <c r="AS23" s="341"/>
      <c r="AT23" s="41" t="s">
        <v>185</v>
      </c>
      <c r="AU23" s="340">
        <f>SUM(5*20)/360</f>
        <v>0.27777777777777779</v>
      </c>
      <c r="AV23" s="340"/>
      <c r="AW23" s="340"/>
      <c r="AX23" s="341"/>
      <c r="AY23" s="41" t="s">
        <v>185</v>
      </c>
      <c r="AZ23" s="340">
        <f>SUM(4*20)/360</f>
        <v>0.22222222222222221</v>
      </c>
      <c r="BA23" s="340"/>
      <c r="BB23" s="340"/>
      <c r="BC23" s="341"/>
      <c r="BD23" s="41" t="s">
        <v>185</v>
      </c>
      <c r="BE23" s="340">
        <f>SUM(3*20)/360</f>
        <v>0.16666666666666666</v>
      </c>
      <c r="BF23" s="340"/>
      <c r="BG23" s="340"/>
      <c r="BH23" s="341"/>
      <c r="BI23" s="41" t="s">
        <v>185</v>
      </c>
      <c r="BJ23" s="340">
        <f>SUM(2*20)/360</f>
        <v>0.1111111111111111</v>
      </c>
      <c r="BK23" s="340"/>
      <c r="BL23" s="340"/>
      <c r="BM23" s="341"/>
      <c r="BN23" s="342" t="s">
        <v>185</v>
      </c>
      <c r="BO23" s="340">
        <f>SUM(1*20)/360</f>
        <v>5.5555555555555552E-2</v>
      </c>
      <c r="BP23" s="340"/>
      <c r="BQ23" s="340"/>
      <c r="BR23" s="341"/>
      <c r="BS23" s="224"/>
      <c r="BT23" s="224"/>
      <c r="BU23" s="224"/>
      <c r="BV23" s="224"/>
      <c r="BW23" s="225"/>
      <c r="BX23" s="240"/>
      <c r="BY23" s="204"/>
      <c r="BZ23" s="204"/>
      <c r="CA23" s="204"/>
      <c r="CB23" s="241"/>
      <c r="CC23" s="216"/>
      <c r="CD23" s="217"/>
      <c r="CE23" s="217"/>
      <c r="CF23" s="217"/>
      <c r="CG23" s="218"/>
    </row>
    <row r="24" spans="1:85" ht="20.100000000000001" customHeight="1" thickBot="1">
      <c r="A24" s="206"/>
      <c r="B24" s="207"/>
      <c r="C24" s="207"/>
      <c r="D24" s="207"/>
      <c r="E24" s="208"/>
      <c r="F24" s="343">
        <f>SUM(G23*360)/365.25</f>
        <v>0.7118412046543463</v>
      </c>
      <c r="G24" s="344"/>
      <c r="H24" s="344"/>
      <c r="I24" s="344"/>
      <c r="J24" s="345"/>
      <c r="K24" s="343">
        <f>SUM(L23*360)/365.25</f>
        <v>0.65708418891170428</v>
      </c>
      <c r="L24" s="344"/>
      <c r="M24" s="344"/>
      <c r="N24" s="344"/>
      <c r="O24" s="345"/>
      <c r="P24" s="343">
        <f>SUM(Q23*360)/365.25</f>
        <v>0.60232717316906237</v>
      </c>
      <c r="Q24" s="344"/>
      <c r="R24" s="344"/>
      <c r="S24" s="344"/>
      <c r="T24" s="345"/>
      <c r="U24" s="343">
        <f>SUM(V23*360)/365.25</f>
        <v>0.54757015742642023</v>
      </c>
      <c r="V24" s="344"/>
      <c r="W24" s="344"/>
      <c r="X24" s="344"/>
      <c r="Y24" s="345"/>
      <c r="Z24" s="343">
        <f>SUM(AA23*360)/365.25</f>
        <v>0.49281314168377821</v>
      </c>
      <c r="AA24" s="344"/>
      <c r="AB24" s="344"/>
      <c r="AC24" s="344"/>
      <c r="AD24" s="345"/>
      <c r="AE24" s="343">
        <f>SUM(AF23*360)/365.25</f>
        <v>0.43805612594113619</v>
      </c>
      <c r="AF24" s="344"/>
      <c r="AG24" s="344"/>
      <c r="AH24" s="344"/>
      <c r="AI24" s="345"/>
      <c r="AJ24" s="343">
        <f>SUM(AK23*360)/365.25</f>
        <v>0.38329911019849416</v>
      </c>
      <c r="AK24" s="344"/>
      <c r="AL24" s="344"/>
      <c r="AM24" s="344"/>
      <c r="AN24" s="345"/>
      <c r="AO24" s="343">
        <f>SUM(AP23*360)/365.25</f>
        <v>0.32854209445585214</v>
      </c>
      <c r="AP24" s="344"/>
      <c r="AQ24" s="344"/>
      <c r="AR24" s="344"/>
      <c r="AS24" s="345"/>
      <c r="AT24" s="343">
        <f>SUM(AU23*360)/365.25</f>
        <v>0.27378507871321012</v>
      </c>
      <c r="AU24" s="344"/>
      <c r="AV24" s="344"/>
      <c r="AW24" s="344"/>
      <c r="AX24" s="345"/>
      <c r="AY24" s="343">
        <f>SUM(AZ23*360)/365.25</f>
        <v>0.21902806297056809</v>
      </c>
      <c r="AZ24" s="344"/>
      <c r="BA24" s="344"/>
      <c r="BB24" s="344"/>
      <c r="BC24" s="345"/>
      <c r="BD24" s="343">
        <f>SUM(BE23*360)/365.25</f>
        <v>0.16427104722792607</v>
      </c>
      <c r="BE24" s="344"/>
      <c r="BF24" s="344"/>
      <c r="BG24" s="344"/>
      <c r="BH24" s="345"/>
      <c r="BI24" s="343">
        <f>SUM(BJ23*360)/365.25</f>
        <v>0.10951403148528405</v>
      </c>
      <c r="BJ24" s="344"/>
      <c r="BK24" s="344"/>
      <c r="BL24" s="344"/>
      <c r="BM24" s="345"/>
      <c r="BN24" s="343">
        <f>SUM(BO23*360)/365.25</f>
        <v>5.4757015742642023E-2</v>
      </c>
      <c r="BO24" s="344"/>
      <c r="BP24" s="344"/>
      <c r="BQ24" s="344"/>
      <c r="BR24" s="345"/>
      <c r="BS24" s="226"/>
      <c r="BT24" s="226"/>
      <c r="BU24" s="226"/>
      <c r="BV24" s="226"/>
      <c r="BW24" s="227"/>
      <c r="BX24" s="242"/>
      <c r="BY24" s="243"/>
      <c r="BZ24" s="243"/>
      <c r="CA24" s="243"/>
      <c r="CB24" s="244"/>
      <c r="CC24" s="219"/>
      <c r="CD24" s="220"/>
      <c r="CE24" s="220"/>
      <c r="CF24" s="220"/>
      <c r="CG24" s="221"/>
    </row>
    <row r="25" spans="1:85" ht="20.100000000000001" customHeight="1" thickTop="1">
      <c r="A25" s="200">
        <v>8</v>
      </c>
      <c r="B25" s="201"/>
      <c r="C25" s="201"/>
      <c r="D25" s="201"/>
      <c r="E25" s="202"/>
      <c r="F25" s="292" t="s">
        <v>76</v>
      </c>
      <c r="G25" s="76"/>
      <c r="H25" s="76"/>
      <c r="I25" s="76"/>
      <c r="J25" s="293"/>
      <c r="K25" s="298" t="s">
        <v>2</v>
      </c>
      <c r="L25" s="299"/>
      <c r="M25" s="299"/>
      <c r="N25" s="299"/>
      <c r="O25" s="300"/>
      <c r="P25" s="292" t="s">
        <v>76</v>
      </c>
      <c r="Q25" s="76"/>
      <c r="R25" s="76"/>
      <c r="S25" s="76"/>
      <c r="T25" s="293"/>
      <c r="U25" s="298" t="s">
        <v>2</v>
      </c>
      <c r="V25" s="299"/>
      <c r="W25" s="299"/>
      <c r="X25" s="299"/>
      <c r="Y25" s="300"/>
      <c r="Z25" s="292" t="s">
        <v>76</v>
      </c>
      <c r="AA25" s="76"/>
      <c r="AB25" s="76"/>
      <c r="AC25" s="76"/>
      <c r="AD25" s="293"/>
      <c r="AE25" s="298" t="s">
        <v>2</v>
      </c>
      <c r="AF25" s="299"/>
      <c r="AG25" s="299"/>
      <c r="AH25" s="299"/>
      <c r="AI25" s="300"/>
      <c r="AJ25" s="292" t="s">
        <v>76</v>
      </c>
      <c r="AK25" s="76"/>
      <c r="AL25" s="76"/>
      <c r="AM25" s="76"/>
      <c r="AN25" s="293"/>
      <c r="AO25" s="298" t="s">
        <v>2</v>
      </c>
      <c r="AP25" s="299"/>
      <c r="AQ25" s="299"/>
      <c r="AR25" s="299"/>
      <c r="AS25" s="300"/>
      <c r="AT25" s="292" t="s">
        <v>76</v>
      </c>
      <c r="AU25" s="76"/>
      <c r="AV25" s="76"/>
      <c r="AW25" s="76"/>
      <c r="AX25" s="293"/>
      <c r="AY25" s="298" t="s">
        <v>2</v>
      </c>
      <c r="AZ25" s="299"/>
      <c r="BA25" s="299"/>
      <c r="BB25" s="299"/>
      <c r="BC25" s="300"/>
      <c r="BD25" s="292" t="s">
        <v>76</v>
      </c>
      <c r="BE25" s="76"/>
      <c r="BF25" s="76"/>
      <c r="BG25" s="76"/>
      <c r="BH25" s="293"/>
      <c r="BI25" s="298" t="s">
        <v>2</v>
      </c>
      <c r="BJ25" s="299"/>
      <c r="BK25" s="299"/>
      <c r="BL25" s="299"/>
      <c r="BM25" s="300"/>
      <c r="BN25" s="292" t="s">
        <v>76</v>
      </c>
      <c r="BO25" s="76"/>
      <c r="BP25" s="76"/>
      <c r="BQ25" s="76"/>
      <c r="BR25" s="293"/>
      <c r="BS25" s="222" t="s">
        <v>3</v>
      </c>
      <c r="BT25" s="222"/>
      <c r="BU25" s="222"/>
      <c r="BV25" s="222"/>
      <c r="BW25" s="223"/>
      <c r="BX25" s="237">
        <v>8</v>
      </c>
      <c r="BY25" s="238"/>
      <c r="BZ25" s="238"/>
      <c r="CA25" s="238"/>
      <c r="CB25" s="239"/>
      <c r="CC25" s="213" t="s">
        <v>27</v>
      </c>
      <c r="CD25" s="214"/>
      <c r="CE25" s="214"/>
      <c r="CF25" s="214"/>
      <c r="CG25" s="215"/>
    </row>
    <row r="26" spans="1:85" ht="20.100000000000001" customHeight="1">
      <c r="A26" s="203"/>
      <c r="B26" s="204"/>
      <c r="C26" s="204"/>
      <c r="D26" s="204"/>
      <c r="E26" s="205"/>
      <c r="F26" s="286" t="s">
        <v>96</v>
      </c>
      <c r="G26" s="287"/>
      <c r="H26" s="287"/>
      <c r="I26" s="287"/>
      <c r="J26" s="288"/>
      <c r="K26" s="286" t="s">
        <v>97</v>
      </c>
      <c r="L26" s="287"/>
      <c r="M26" s="287"/>
      <c r="N26" s="287"/>
      <c r="O26" s="288"/>
      <c r="P26" s="286" t="s">
        <v>98</v>
      </c>
      <c r="Q26" s="287"/>
      <c r="R26" s="287"/>
      <c r="S26" s="287"/>
      <c r="T26" s="288"/>
      <c r="U26" s="286" t="s">
        <v>111</v>
      </c>
      <c r="V26" s="287"/>
      <c r="W26" s="287"/>
      <c r="X26" s="287"/>
      <c r="Y26" s="288"/>
      <c r="Z26" s="286" t="s">
        <v>112</v>
      </c>
      <c r="AA26" s="287"/>
      <c r="AB26" s="287"/>
      <c r="AC26" s="287"/>
      <c r="AD26" s="288"/>
      <c r="AE26" s="286" t="s">
        <v>113</v>
      </c>
      <c r="AF26" s="287"/>
      <c r="AG26" s="287"/>
      <c r="AH26" s="287"/>
      <c r="AI26" s="288"/>
      <c r="AJ26" s="286" t="s">
        <v>114</v>
      </c>
      <c r="AK26" s="287"/>
      <c r="AL26" s="287"/>
      <c r="AM26" s="287"/>
      <c r="AN26" s="288"/>
      <c r="AO26" s="286" t="s">
        <v>115</v>
      </c>
      <c r="AP26" s="287"/>
      <c r="AQ26" s="287"/>
      <c r="AR26" s="287"/>
      <c r="AS26" s="288"/>
      <c r="AT26" s="286" t="s">
        <v>116</v>
      </c>
      <c r="AU26" s="287"/>
      <c r="AV26" s="287"/>
      <c r="AW26" s="287"/>
      <c r="AX26" s="288"/>
      <c r="AY26" s="286" t="s">
        <v>117</v>
      </c>
      <c r="AZ26" s="287"/>
      <c r="BA26" s="287"/>
      <c r="BB26" s="287"/>
      <c r="BC26" s="288"/>
      <c r="BD26" s="286" t="s">
        <v>118</v>
      </c>
      <c r="BE26" s="287"/>
      <c r="BF26" s="287"/>
      <c r="BG26" s="287"/>
      <c r="BH26" s="288"/>
      <c r="BI26" s="286" t="s">
        <v>119</v>
      </c>
      <c r="BJ26" s="287"/>
      <c r="BK26" s="287"/>
      <c r="BL26" s="287"/>
      <c r="BM26" s="288"/>
      <c r="BN26" s="286" t="s">
        <v>120</v>
      </c>
      <c r="BO26" s="287"/>
      <c r="BP26" s="287"/>
      <c r="BQ26" s="287"/>
      <c r="BR26" s="288"/>
      <c r="BS26" s="224"/>
      <c r="BT26" s="224"/>
      <c r="BU26" s="224"/>
      <c r="BV26" s="224"/>
      <c r="BW26" s="225"/>
      <c r="BX26" s="240"/>
      <c r="BY26" s="204"/>
      <c r="BZ26" s="204"/>
      <c r="CA26" s="204"/>
      <c r="CB26" s="241"/>
      <c r="CC26" s="216"/>
      <c r="CD26" s="217"/>
      <c r="CE26" s="217"/>
      <c r="CF26" s="217"/>
      <c r="CG26" s="218"/>
    </row>
    <row r="27" spans="1:85" ht="20.100000000000001" customHeight="1">
      <c r="A27" s="203"/>
      <c r="B27" s="204"/>
      <c r="C27" s="204"/>
      <c r="D27" s="204"/>
      <c r="E27" s="205"/>
      <c r="F27" s="332">
        <f>DATE(F18,P18,Z18)-360-360-360-360-360-360-360-360-360-360-360-360-360</f>
        <v>36164</v>
      </c>
      <c r="G27" s="333"/>
      <c r="H27" s="333"/>
      <c r="I27" s="333"/>
      <c r="J27" s="334"/>
      <c r="K27" s="332">
        <f>DATE(F18,P18,Z18)-360-360-360-360-360-360-360-360-360-360-360-360</f>
        <v>36524</v>
      </c>
      <c r="L27" s="333"/>
      <c r="M27" s="333"/>
      <c r="N27" s="333"/>
      <c r="O27" s="334"/>
      <c r="P27" s="332">
        <f>DATE(F18,P18,Z18)-360-360-360-360-360-360-360-360-360-360-360</f>
        <v>36884</v>
      </c>
      <c r="Q27" s="333"/>
      <c r="R27" s="333"/>
      <c r="S27" s="333"/>
      <c r="T27" s="334"/>
      <c r="U27" s="332">
        <f>DATE(F18,P18,Z18)-360-360-360-360-360-360-360-360-360-360</f>
        <v>37244</v>
      </c>
      <c r="V27" s="333"/>
      <c r="W27" s="333"/>
      <c r="X27" s="333"/>
      <c r="Y27" s="334"/>
      <c r="Z27" s="332">
        <f>DATE(F18,P18,Z18)-360-360-360-360-360-360-360-360-360</f>
        <v>37604</v>
      </c>
      <c r="AA27" s="333"/>
      <c r="AB27" s="333"/>
      <c r="AC27" s="333"/>
      <c r="AD27" s="334"/>
      <c r="AE27" s="332">
        <f>DATE(F18,P18,Z18)-360-360-360-360-360-360-360-360</f>
        <v>37964</v>
      </c>
      <c r="AF27" s="333"/>
      <c r="AG27" s="333"/>
      <c r="AH27" s="333"/>
      <c r="AI27" s="334"/>
      <c r="AJ27" s="332">
        <f>DATE(F18,P18,Z18)-360-360-360-360-360-360-360</f>
        <v>38324</v>
      </c>
      <c r="AK27" s="333"/>
      <c r="AL27" s="333"/>
      <c r="AM27" s="333"/>
      <c r="AN27" s="334"/>
      <c r="AO27" s="332">
        <f>DATE(F18,P18,Z18)-360-360-360-360-360-360</f>
        <v>38684</v>
      </c>
      <c r="AP27" s="333"/>
      <c r="AQ27" s="333"/>
      <c r="AR27" s="333"/>
      <c r="AS27" s="334"/>
      <c r="AT27" s="332">
        <f>DATE(F18,P18,Z18)-360-360-360-360-360</f>
        <v>39044</v>
      </c>
      <c r="AU27" s="333"/>
      <c r="AV27" s="333"/>
      <c r="AW27" s="333"/>
      <c r="AX27" s="334"/>
      <c r="AY27" s="332">
        <f>DATE(F18,P18,Z18)-360-360-360-360</f>
        <v>39404</v>
      </c>
      <c r="AZ27" s="333"/>
      <c r="BA27" s="333"/>
      <c r="BB27" s="333"/>
      <c r="BC27" s="334"/>
      <c r="BD27" s="332">
        <f>DATE(F18,P18,Z18)-360-360-360</f>
        <v>39764</v>
      </c>
      <c r="BE27" s="333"/>
      <c r="BF27" s="333"/>
      <c r="BG27" s="333"/>
      <c r="BH27" s="334"/>
      <c r="BI27" s="332">
        <f>DATE(F18,P18,Z18)-360-360</f>
        <v>40124</v>
      </c>
      <c r="BJ27" s="333"/>
      <c r="BK27" s="333"/>
      <c r="BL27" s="333"/>
      <c r="BM27" s="334"/>
      <c r="BN27" s="332">
        <f>DATE(F18,P18,Z18)-360</f>
        <v>40484</v>
      </c>
      <c r="BO27" s="333"/>
      <c r="BP27" s="333"/>
      <c r="BQ27" s="333"/>
      <c r="BR27" s="334"/>
      <c r="BS27" s="224"/>
      <c r="BT27" s="224"/>
      <c r="BU27" s="224"/>
      <c r="BV27" s="224"/>
      <c r="BW27" s="225"/>
      <c r="BX27" s="240"/>
      <c r="BY27" s="204"/>
      <c r="BZ27" s="204"/>
      <c r="CA27" s="204"/>
      <c r="CB27" s="241"/>
      <c r="CC27" s="216"/>
      <c r="CD27" s="217"/>
      <c r="CE27" s="217"/>
      <c r="CF27" s="217"/>
      <c r="CG27" s="218"/>
    </row>
    <row r="28" spans="1:85" ht="20.100000000000001" customHeight="1">
      <c r="A28" s="203"/>
      <c r="B28" s="204"/>
      <c r="C28" s="204"/>
      <c r="D28" s="204"/>
      <c r="E28" s="205"/>
      <c r="F28" s="39" t="s">
        <v>75</v>
      </c>
      <c r="G28" s="294">
        <v>13</v>
      </c>
      <c r="H28" s="294"/>
      <c r="I28" s="294"/>
      <c r="J28" s="295"/>
      <c r="K28" s="39" t="s">
        <v>75</v>
      </c>
      <c r="L28" s="294">
        <v>12</v>
      </c>
      <c r="M28" s="294"/>
      <c r="N28" s="294"/>
      <c r="O28" s="295"/>
      <c r="P28" s="39" t="s">
        <v>75</v>
      </c>
      <c r="Q28" s="294">
        <v>11</v>
      </c>
      <c r="R28" s="294"/>
      <c r="S28" s="294"/>
      <c r="T28" s="295"/>
      <c r="U28" s="39" t="s">
        <v>75</v>
      </c>
      <c r="V28" s="294">
        <v>10</v>
      </c>
      <c r="W28" s="294"/>
      <c r="X28" s="294"/>
      <c r="Y28" s="295"/>
      <c r="Z28" s="39" t="s">
        <v>75</v>
      </c>
      <c r="AA28" s="294">
        <v>9</v>
      </c>
      <c r="AB28" s="294"/>
      <c r="AC28" s="294"/>
      <c r="AD28" s="295"/>
      <c r="AE28" s="39" t="s">
        <v>75</v>
      </c>
      <c r="AF28" s="294">
        <v>8</v>
      </c>
      <c r="AG28" s="294"/>
      <c r="AH28" s="294"/>
      <c r="AI28" s="295"/>
      <c r="AJ28" s="39" t="s">
        <v>75</v>
      </c>
      <c r="AK28" s="294">
        <v>7</v>
      </c>
      <c r="AL28" s="294"/>
      <c r="AM28" s="294"/>
      <c r="AN28" s="295"/>
      <c r="AO28" s="39" t="s">
        <v>75</v>
      </c>
      <c r="AP28" s="294">
        <v>6</v>
      </c>
      <c r="AQ28" s="294"/>
      <c r="AR28" s="294"/>
      <c r="AS28" s="295"/>
      <c r="AT28" s="39" t="s">
        <v>75</v>
      </c>
      <c r="AU28" s="294">
        <v>5</v>
      </c>
      <c r="AV28" s="294"/>
      <c r="AW28" s="294"/>
      <c r="AX28" s="295"/>
      <c r="AY28" s="39" t="s">
        <v>75</v>
      </c>
      <c r="AZ28" s="294">
        <v>4</v>
      </c>
      <c r="BA28" s="294"/>
      <c r="BB28" s="294"/>
      <c r="BC28" s="295"/>
      <c r="BD28" s="39" t="s">
        <v>75</v>
      </c>
      <c r="BE28" s="294">
        <v>3</v>
      </c>
      <c r="BF28" s="294"/>
      <c r="BG28" s="294"/>
      <c r="BH28" s="295"/>
      <c r="BI28" s="39" t="s">
        <v>75</v>
      </c>
      <c r="BJ28" s="294">
        <v>2</v>
      </c>
      <c r="BK28" s="294"/>
      <c r="BL28" s="294"/>
      <c r="BM28" s="295"/>
      <c r="BN28" s="39" t="s">
        <v>75</v>
      </c>
      <c r="BO28" s="294">
        <v>1</v>
      </c>
      <c r="BP28" s="294"/>
      <c r="BQ28" s="294"/>
      <c r="BR28" s="295"/>
      <c r="BS28" s="224"/>
      <c r="BT28" s="224"/>
      <c r="BU28" s="224"/>
      <c r="BV28" s="224"/>
      <c r="BW28" s="225"/>
      <c r="BX28" s="240"/>
      <c r="BY28" s="204"/>
      <c r="BZ28" s="204"/>
      <c r="CA28" s="204"/>
      <c r="CB28" s="241"/>
      <c r="CC28" s="216"/>
      <c r="CD28" s="217"/>
      <c r="CE28" s="217"/>
      <c r="CF28" s="217"/>
      <c r="CG28" s="218"/>
    </row>
    <row r="29" spans="1:85" ht="20.100000000000001" customHeight="1" thickBot="1">
      <c r="A29" s="206"/>
      <c r="B29" s="207"/>
      <c r="C29" s="207"/>
      <c r="D29" s="207"/>
      <c r="E29" s="208"/>
      <c r="F29" s="405">
        <f>SUM((G28*360)/365.25)</f>
        <v>12.813141683778234</v>
      </c>
      <c r="G29" s="406"/>
      <c r="H29" s="406"/>
      <c r="I29" s="406"/>
      <c r="J29" s="407"/>
      <c r="K29" s="405">
        <f>SUM((L28*360)/365.25)</f>
        <v>11.827515400410677</v>
      </c>
      <c r="L29" s="406"/>
      <c r="M29" s="406"/>
      <c r="N29" s="406"/>
      <c r="O29" s="407"/>
      <c r="P29" s="405">
        <f>SUM((Q28*360)/365.25)</f>
        <v>10.841889117043122</v>
      </c>
      <c r="Q29" s="406"/>
      <c r="R29" s="406"/>
      <c r="S29" s="406"/>
      <c r="T29" s="407"/>
      <c r="U29" s="405">
        <f>SUM((V28*360)/365.25)</f>
        <v>9.8562628336755651</v>
      </c>
      <c r="V29" s="406"/>
      <c r="W29" s="406"/>
      <c r="X29" s="406"/>
      <c r="Y29" s="407"/>
      <c r="Z29" s="405">
        <f>SUM((AA28*360)/365.25)</f>
        <v>8.8706365503080082</v>
      </c>
      <c r="AA29" s="406"/>
      <c r="AB29" s="406"/>
      <c r="AC29" s="406"/>
      <c r="AD29" s="407"/>
      <c r="AE29" s="405">
        <f>SUM((AF28*360)/365.25)</f>
        <v>7.8850102669404514</v>
      </c>
      <c r="AF29" s="406"/>
      <c r="AG29" s="406"/>
      <c r="AH29" s="406"/>
      <c r="AI29" s="407"/>
      <c r="AJ29" s="405">
        <f>SUM((AK28*360)/365.25)</f>
        <v>6.8993839835728954</v>
      </c>
      <c r="AK29" s="406"/>
      <c r="AL29" s="406"/>
      <c r="AM29" s="406"/>
      <c r="AN29" s="407"/>
      <c r="AO29" s="405">
        <f>SUM((AP28*360)/365.25)</f>
        <v>5.9137577002053385</v>
      </c>
      <c r="AP29" s="406"/>
      <c r="AQ29" s="406"/>
      <c r="AR29" s="406"/>
      <c r="AS29" s="407"/>
      <c r="AT29" s="405">
        <f>SUM((AU28*360)/365.25)</f>
        <v>4.9281314168377826</v>
      </c>
      <c r="AU29" s="406"/>
      <c r="AV29" s="406"/>
      <c r="AW29" s="406"/>
      <c r="AX29" s="407"/>
      <c r="AY29" s="405">
        <f>SUM((AZ28*360)/365.25)</f>
        <v>3.9425051334702257</v>
      </c>
      <c r="AZ29" s="406"/>
      <c r="BA29" s="406"/>
      <c r="BB29" s="406"/>
      <c r="BC29" s="407"/>
      <c r="BD29" s="405">
        <f>SUM((BE28*360)/365.25)</f>
        <v>2.9568788501026693</v>
      </c>
      <c r="BE29" s="406"/>
      <c r="BF29" s="406"/>
      <c r="BG29" s="406"/>
      <c r="BH29" s="407"/>
      <c r="BI29" s="405">
        <f>SUM((BJ28*360)/365.25)</f>
        <v>1.9712525667351128</v>
      </c>
      <c r="BJ29" s="406"/>
      <c r="BK29" s="406"/>
      <c r="BL29" s="406"/>
      <c r="BM29" s="407"/>
      <c r="BN29" s="405">
        <f>SUM((BO28*360)/365.25)</f>
        <v>0.98562628336755642</v>
      </c>
      <c r="BO29" s="406"/>
      <c r="BP29" s="406"/>
      <c r="BQ29" s="406"/>
      <c r="BR29" s="407"/>
      <c r="BS29" s="226"/>
      <c r="BT29" s="226"/>
      <c r="BU29" s="226"/>
      <c r="BV29" s="226"/>
      <c r="BW29" s="227"/>
      <c r="BX29" s="242"/>
      <c r="BY29" s="243"/>
      <c r="BZ29" s="243"/>
      <c r="CA29" s="243"/>
      <c r="CB29" s="244"/>
      <c r="CC29" s="219"/>
      <c r="CD29" s="220"/>
      <c r="CE29" s="220"/>
      <c r="CF29" s="220"/>
      <c r="CG29" s="221"/>
    </row>
    <row r="30" spans="1:85" ht="20.100000000000001" customHeight="1" thickTop="1">
      <c r="A30" s="200">
        <v>7</v>
      </c>
      <c r="B30" s="201"/>
      <c r="C30" s="201"/>
      <c r="D30" s="201"/>
      <c r="E30" s="202"/>
      <c r="F30" s="298" t="s">
        <v>74</v>
      </c>
      <c r="G30" s="299"/>
      <c r="H30" s="299"/>
      <c r="I30" s="299"/>
      <c r="J30" s="300"/>
      <c r="K30" s="298" t="s">
        <v>5</v>
      </c>
      <c r="L30" s="299"/>
      <c r="M30" s="299"/>
      <c r="N30" s="299"/>
      <c r="O30" s="300"/>
      <c r="P30" s="298" t="s">
        <v>74</v>
      </c>
      <c r="Q30" s="299"/>
      <c r="R30" s="299"/>
      <c r="S30" s="299"/>
      <c r="T30" s="300"/>
      <c r="U30" s="298" t="s">
        <v>5</v>
      </c>
      <c r="V30" s="299"/>
      <c r="W30" s="299"/>
      <c r="X30" s="299"/>
      <c r="Y30" s="300"/>
      <c r="Z30" s="298" t="s">
        <v>74</v>
      </c>
      <c r="AA30" s="299"/>
      <c r="AB30" s="299"/>
      <c r="AC30" s="299"/>
      <c r="AD30" s="300"/>
      <c r="AE30" s="298" t="s">
        <v>5</v>
      </c>
      <c r="AF30" s="299"/>
      <c r="AG30" s="299"/>
      <c r="AH30" s="299"/>
      <c r="AI30" s="300"/>
      <c r="AJ30" s="298" t="s">
        <v>74</v>
      </c>
      <c r="AK30" s="299"/>
      <c r="AL30" s="299"/>
      <c r="AM30" s="299"/>
      <c r="AN30" s="300"/>
      <c r="AO30" s="298" t="s">
        <v>5</v>
      </c>
      <c r="AP30" s="299"/>
      <c r="AQ30" s="299"/>
      <c r="AR30" s="299"/>
      <c r="AS30" s="300"/>
      <c r="AT30" s="298" t="s">
        <v>74</v>
      </c>
      <c r="AU30" s="299"/>
      <c r="AV30" s="299"/>
      <c r="AW30" s="299"/>
      <c r="AX30" s="300"/>
      <c r="AY30" s="298" t="s">
        <v>5</v>
      </c>
      <c r="AZ30" s="299"/>
      <c r="BA30" s="299"/>
      <c r="BB30" s="299"/>
      <c r="BC30" s="300"/>
      <c r="BD30" s="298" t="s">
        <v>74</v>
      </c>
      <c r="BE30" s="299"/>
      <c r="BF30" s="299"/>
      <c r="BG30" s="299"/>
      <c r="BH30" s="300"/>
      <c r="BI30" s="298" t="s">
        <v>5</v>
      </c>
      <c r="BJ30" s="299"/>
      <c r="BK30" s="299"/>
      <c r="BL30" s="299"/>
      <c r="BM30" s="300"/>
      <c r="BN30" s="298" t="s">
        <v>74</v>
      </c>
      <c r="BO30" s="299"/>
      <c r="BP30" s="299"/>
      <c r="BQ30" s="299"/>
      <c r="BR30" s="300"/>
      <c r="BS30" s="222" t="s">
        <v>6</v>
      </c>
      <c r="BT30" s="222"/>
      <c r="BU30" s="222"/>
      <c r="BV30" s="222"/>
      <c r="BW30" s="223"/>
      <c r="BX30" s="237">
        <v>7</v>
      </c>
      <c r="BY30" s="238"/>
      <c r="BZ30" s="238"/>
      <c r="CA30" s="238"/>
      <c r="CB30" s="239"/>
      <c r="CC30" s="213" t="s">
        <v>26</v>
      </c>
      <c r="CD30" s="214"/>
      <c r="CE30" s="214"/>
      <c r="CF30" s="214"/>
      <c r="CG30" s="215"/>
    </row>
    <row r="31" spans="1:85" ht="20.100000000000001" customHeight="1">
      <c r="A31" s="203"/>
      <c r="B31" s="204"/>
      <c r="C31" s="204"/>
      <c r="D31" s="204"/>
      <c r="E31" s="205"/>
      <c r="F31" s="289" t="s">
        <v>83</v>
      </c>
      <c r="G31" s="290"/>
      <c r="H31" s="290"/>
      <c r="I31" s="290"/>
      <c r="J31" s="291"/>
      <c r="K31" s="289" t="s">
        <v>84</v>
      </c>
      <c r="L31" s="290"/>
      <c r="M31" s="290"/>
      <c r="N31" s="290"/>
      <c r="O31" s="291"/>
      <c r="P31" s="289" t="s">
        <v>85</v>
      </c>
      <c r="Q31" s="290"/>
      <c r="R31" s="290"/>
      <c r="S31" s="290"/>
      <c r="T31" s="291"/>
      <c r="U31" s="289" t="s">
        <v>86</v>
      </c>
      <c r="V31" s="290"/>
      <c r="W31" s="290"/>
      <c r="X31" s="290"/>
      <c r="Y31" s="291"/>
      <c r="Z31" s="289" t="s">
        <v>87</v>
      </c>
      <c r="AA31" s="290"/>
      <c r="AB31" s="290"/>
      <c r="AC31" s="290"/>
      <c r="AD31" s="291"/>
      <c r="AE31" s="289" t="s">
        <v>88</v>
      </c>
      <c r="AF31" s="290"/>
      <c r="AG31" s="290"/>
      <c r="AH31" s="290"/>
      <c r="AI31" s="291"/>
      <c r="AJ31" s="289" t="s">
        <v>89</v>
      </c>
      <c r="AK31" s="290"/>
      <c r="AL31" s="290"/>
      <c r="AM31" s="290"/>
      <c r="AN31" s="291"/>
      <c r="AO31" s="289" t="s">
        <v>90</v>
      </c>
      <c r="AP31" s="290"/>
      <c r="AQ31" s="290"/>
      <c r="AR31" s="290"/>
      <c r="AS31" s="291"/>
      <c r="AT31" s="289" t="s">
        <v>91</v>
      </c>
      <c r="AU31" s="290"/>
      <c r="AV31" s="290"/>
      <c r="AW31" s="290"/>
      <c r="AX31" s="291"/>
      <c r="AY31" s="289" t="s">
        <v>92</v>
      </c>
      <c r="AZ31" s="290"/>
      <c r="BA31" s="290"/>
      <c r="BB31" s="290"/>
      <c r="BC31" s="291"/>
      <c r="BD31" s="289" t="s">
        <v>93</v>
      </c>
      <c r="BE31" s="290"/>
      <c r="BF31" s="290"/>
      <c r="BG31" s="290"/>
      <c r="BH31" s="291"/>
      <c r="BI31" s="289" t="s">
        <v>94</v>
      </c>
      <c r="BJ31" s="290"/>
      <c r="BK31" s="290"/>
      <c r="BL31" s="290"/>
      <c r="BM31" s="291"/>
      <c r="BN31" s="289" t="s">
        <v>95</v>
      </c>
      <c r="BO31" s="290"/>
      <c r="BP31" s="290"/>
      <c r="BQ31" s="290"/>
      <c r="BR31" s="291"/>
      <c r="BS31" s="224"/>
      <c r="BT31" s="224"/>
      <c r="BU31" s="224"/>
      <c r="BV31" s="224"/>
      <c r="BW31" s="225"/>
      <c r="BX31" s="240"/>
      <c r="BY31" s="204"/>
      <c r="BZ31" s="204"/>
      <c r="CA31" s="204"/>
      <c r="CB31" s="241"/>
      <c r="CC31" s="216"/>
      <c r="CD31" s="217"/>
      <c r="CE31" s="217"/>
      <c r="CF31" s="217"/>
      <c r="CG31" s="218"/>
    </row>
    <row r="32" spans="1:85" ht="20.100000000000001" customHeight="1">
      <c r="A32" s="203"/>
      <c r="B32" s="204"/>
      <c r="C32" s="204"/>
      <c r="D32" s="204"/>
      <c r="E32" s="205"/>
      <c r="F32" s="348">
        <f>SUM(2012-((360*G33)/365.25))</f>
        <v>1755.7371663244353</v>
      </c>
      <c r="G32" s="349"/>
      <c r="H32" s="349"/>
      <c r="I32" s="349"/>
      <c r="J32" s="350"/>
      <c r="K32" s="348">
        <f t="shared" ref="K32:AS32" si="0">SUM(2012-((360*L33)/365.25))</f>
        <v>1775.4496919917865</v>
      </c>
      <c r="L32" s="349"/>
      <c r="M32" s="349"/>
      <c r="N32" s="349"/>
      <c r="O32" s="350"/>
      <c r="P32" s="348">
        <f t="shared" ref="P32:AS32" si="1">SUM(2012-((360*Q33)/365.25))</f>
        <v>1795.1622176591377</v>
      </c>
      <c r="Q32" s="349"/>
      <c r="R32" s="349"/>
      <c r="S32" s="349"/>
      <c r="T32" s="350"/>
      <c r="U32" s="348">
        <f t="shared" ref="U32:AS32" si="2">SUM(2012-((360*V33)/365.25))</f>
        <v>1814.8747433264887</v>
      </c>
      <c r="V32" s="349"/>
      <c r="W32" s="349"/>
      <c r="X32" s="349"/>
      <c r="Y32" s="350"/>
      <c r="Z32" s="348">
        <f t="shared" ref="Z32:AS32" si="3">SUM(2012-((360*AA33)/365.25))</f>
        <v>1834.5872689938399</v>
      </c>
      <c r="AA32" s="349"/>
      <c r="AB32" s="349"/>
      <c r="AC32" s="349"/>
      <c r="AD32" s="350"/>
      <c r="AE32" s="348">
        <f t="shared" ref="AE32:AS32" si="4">SUM(2012-((360*AF33)/365.25))</f>
        <v>1854.2997946611908</v>
      </c>
      <c r="AF32" s="349"/>
      <c r="AG32" s="349"/>
      <c r="AH32" s="349"/>
      <c r="AI32" s="350"/>
      <c r="AJ32" s="348">
        <f t="shared" ref="AJ32:AS32" si="5">SUM(2012-((360*AK33)/365.25))</f>
        <v>1874.012320328542</v>
      </c>
      <c r="AK32" s="349"/>
      <c r="AL32" s="349"/>
      <c r="AM32" s="349"/>
      <c r="AN32" s="350"/>
      <c r="AO32" s="348">
        <f t="shared" ref="AO32:AS32" si="6">SUM(2012-((360*AP33)/365.25))</f>
        <v>1893.7248459958932</v>
      </c>
      <c r="AP32" s="349"/>
      <c r="AQ32" s="349"/>
      <c r="AR32" s="349"/>
      <c r="AS32" s="350"/>
      <c r="AT32" s="357">
        <f>DATE(F18,P18,Z18)-(360*20)-(360*20)-(360*20)-(360*20)-(360*20)</f>
        <v>4844</v>
      </c>
      <c r="AU32" s="358"/>
      <c r="AV32" s="358"/>
      <c r="AW32" s="358"/>
      <c r="AX32" s="359"/>
      <c r="AY32" s="360">
        <f>DATE(F18,P18,Z18)-(360*20)-(360*20)-(360*20)-(360*20)</f>
        <v>12044</v>
      </c>
      <c r="AZ32" s="361"/>
      <c r="BA32" s="361"/>
      <c r="BB32" s="361"/>
      <c r="BC32" s="362"/>
      <c r="BD32" s="354">
        <f>DATE(F18,P18,Z18)-(360*20)-(360*20)-(360*20)</f>
        <v>19244</v>
      </c>
      <c r="BE32" s="355"/>
      <c r="BF32" s="355"/>
      <c r="BG32" s="355"/>
      <c r="BH32" s="356"/>
      <c r="BI32" s="354">
        <f>DATE(F18,P18,Z18)-(360*20)-(360*20)</f>
        <v>26444</v>
      </c>
      <c r="BJ32" s="355"/>
      <c r="BK32" s="355"/>
      <c r="BL32" s="355"/>
      <c r="BM32" s="356"/>
      <c r="BN32" s="354">
        <f>DATE(F18,P18,Z18)-(360*20)</f>
        <v>33644</v>
      </c>
      <c r="BO32" s="355"/>
      <c r="BP32" s="355"/>
      <c r="BQ32" s="355"/>
      <c r="BR32" s="356"/>
      <c r="BS32" s="224"/>
      <c r="BT32" s="224"/>
      <c r="BU32" s="224"/>
      <c r="BV32" s="224"/>
      <c r="BW32" s="225"/>
      <c r="BX32" s="240"/>
      <c r="BY32" s="204"/>
      <c r="BZ32" s="204"/>
      <c r="CA32" s="204"/>
      <c r="CB32" s="241"/>
      <c r="CC32" s="216"/>
      <c r="CD32" s="217"/>
      <c r="CE32" s="217"/>
      <c r="CF32" s="217"/>
      <c r="CG32" s="218"/>
    </row>
    <row r="33" spans="1:85" ht="20.100000000000001" customHeight="1">
      <c r="A33" s="203"/>
      <c r="B33" s="204"/>
      <c r="C33" s="204"/>
      <c r="D33" s="204"/>
      <c r="E33" s="205"/>
      <c r="F33" s="40" t="s">
        <v>75</v>
      </c>
      <c r="G33" s="296">
        <f>SUM(13*20)</f>
        <v>260</v>
      </c>
      <c r="H33" s="296"/>
      <c r="I33" s="296"/>
      <c r="J33" s="297"/>
      <c r="K33" s="40" t="s">
        <v>75</v>
      </c>
      <c r="L33" s="296">
        <f>SUM(12*20)</f>
        <v>240</v>
      </c>
      <c r="M33" s="296"/>
      <c r="N33" s="296"/>
      <c r="O33" s="297"/>
      <c r="P33" s="40" t="s">
        <v>75</v>
      </c>
      <c r="Q33" s="296">
        <f>SUM(11*20)</f>
        <v>220</v>
      </c>
      <c r="R33" s="296"/>
      <c r="S33" s="296"/>
      <c r="T33" s="297"/>
      <c r="U33" s="40" t="s">
        <v>75</v>
      </c>
      <c r="V33" s="296">
        <f>SUM(10*20)</f>
        <v>200</v>
      </c>
      <c r="W33" s="296"/>
      <c r="X33" s="296"/>
      <c r="Y33" s="297"/>
      <c r="Z33" s="40" t="s">
        <v>75</v>
      </c>
      <c r="AA33" s="296">
        <f>SUM(9*20)</f>
        <v>180</v>
      </c>
      <c r="AB33" s="296"/>
      <c r="AC33" s="296"/>
      <c r="AD33" s="297"/>
      <c r="AE33" s="40" t="s">
        <v>75</v>
      </c>
      <c r="AF33" s="296">
        <f>SUM(8*20)</f>
        <v>160</v>
      </c>
      <c r="AG33" s="296"/>
      <c r="AH33" s="296"/>
      <c r="AI33" s="297"/>
      <c r="AJ33" s="40" t="s">
        <v>75</v>
      </c>
      <c r="AK33" s="296">
        <f>SUM(7*20)</f>
        <v>140</v>
      </c>
      <c r="AL33" s="296"/>
      <c r="AM33" s="296"/>
      <c r="AN33" s="297"/>
      <c r="AO33" s="40" t="s">
        <v>75</v>
      </c>
      <c r="AP33" s="296">
        <f>SUM(6*20)</f>
        <v>120</v>
      </c>
      <c r="AQ33" s="296"/>
      <c r="AR33" s="296"/>
      <c r="AS33" s="297"/>
      <c r="AT33" s="40" t="s">
        <v>75</v>
      </c>
      <c r="AU33" s="296">
        <f>SUM(5*20)</f>
        <v>100</v>
      </c>
      <c r="AV33" s="296"/>
      <c r="AW33" s="296"/>
      <c r="AX33" s="297"/>
      <c r="AY33" s="40" t="s">
        <v>75</v>
      </c>
      <c r="AZ33" s="296">
        <f>SUM(4*20)</f>
        <v>80</v>
      </c>
      <c r="BA33" s="296"/>
      <c r="BB33" s="296"/>
      <c r="BC33" s="297"/>
      <c r="BD33" s="40" t="s">
        <v>75</v>
      </c>
      <c r="BE33" s="296">
        <f>SUM(3*20)</f>
        <v>60</v>
      </c>
      <c r="BF33" s="296"/>
      <c r="BG33" s="296"/>
      <c r="BH33" s="297"/>
      <c r="BI33" s="40" t="s">
        <v>75</v>
      </c>
      <c r="BJ33" s="296">
        <f>SUM(2*20)</f>
        <v>40</v>
      </c>
      <c r="BK33" s="296"/>
      <c r="BL33" s="296"/>
      <c r="BM33" s="297"/>
      <c r="BN33" s="40" t="s">
        <v>75</v>
      </c>
      <c r="BO33" s="296">
        <f>SUM(1*20)</f>
        <v>20</v>
      </c>
      <c r="BP33" s="296"/>
      <c r="BQ33" s="296"/>
      <c r="BR33" s="297"/>
      <c r="BS33" s="224"/>
      <c r="BT33" s="224"/>
      <c r="BU33" s="224"/>
      <c r="BV33" s="224"/>
      <c r="BW33" s="225"/>
      <c r="BX33" s="240"/>
      <c r="BY33" s="204"/>
      <c r="BZ33" s="204"/>
      <c r="CA33" s="204"/>
      <c r="CB33" s="241"/>
      <c r="CC33" s="216"/>
      <c r="CD33" s="217"/>
      <c r="CE33" s="217"/>
      <c r="CF33" s="217"/>
      <c r="CG33" s="218"/>
    </row>
    <row r="34" spans="1:85" ht="20.100000000000001" customHeight="1" thickBot="1">
      <c r="A34" s="206"/>
      <c r="B34" s="207"/>
      <c r="C34" s="207"/>
      <c r="D34" s="207"/>
      <c r="E34" s="208"/>
      <c r="F34" s="402">
        <f>SUM((G33*360)/365.25)</f>
        <v>256.26283367556471</v>
      </c>
      <c r="G34" s="403"/>
      <c r="H34" s="403"/>
      <c r="I34" s="403"/>
      <c r="J34" s="404"/>
      <c r="K34" s="402">
        <f>SUM((L33*360)/365.25)</f>
        <v>236.55030800821356</v>
      </c>
      <c r="L34" s="403"/>
      <c r="M34" s="403"/>
      <c r="N34" s="403"/>
      <c r="O34" s="404"/>
      <c r="P34" s="402">
        <f>SUM((Q33*360)/365.25)</f>
        <v>216.83778234086242</v>
      </c>
      <c r="Q34" s="403"/>
      <c r="R34" s="403"/>
      <c r="S34" s="403"/>
      <c r="T34" s="404"/>
      <c r="U34" s="402">
        <f>SUM((V33*360)/365.25)</f>
        <v>197.1252566735113</v>
      </c>
      <c r="V34" s="403"/>
      <c r="W34" s="403"/>
      <c r="X34" s="403"/>
      <c r="Y34" s="404"/>
      <c r="Z34" s="402">
        <f>SUM((AA33*360)/365.25)</f>
        <v>177.41273100616016</v>
      </c>
      <c r="AA34" s="403"/>
      <c r="AB34" s="403"/>
      <c r="AC34" s="403"/>
      <c r="AD34" s="404"/>
      <c r="AE34" s="402">
        <f>SUM((AF33*360)/365.25)</f>
        <v>157.70020533880904</v>
      </c>
      <c r="AF34" s="403"/>
      <c r="AG34" s="403"/>
      <c r="AH34" s="403"/>
      <c r="AI34" s="404"/>
      <c r="AJ34" s="402">
        <f>SUM((AK33*360)/365.25)</f>
        <v>137.9876796714579</v>
      </c>
      <c r="AK34" s="403"/>
      <c r="AL34" s="403"/>
      <c r="AM34" s="403"/>
      <c r="AN34" s="404"/>
      <c r="AO34" s="402">
        <f>SUM((AP33*360)/365.25)</f>
        <v>118.27515400410678</v>
      </c>
      <c r="AP34" s="403"/>
      <c r="AQ34" s="403"/>
      <c r="AR34" s="403"/>
      <c r="AS34" s="404"/>
      <c r="AT34" s="402">
        <f>SUM((AU33*360)/365.25)</f>
        <v>98.562628336755651</v>
      </c>
      <c r="AU34" s="403"/>
      <c r="AV34" s="403"/>
      <c r="AW34" s="403"/>
      <c r="AX34" s="404"/>
      <c r="AY34" s="402">
        <f>SUM((AZ33*360)/365.25)</f>
        <v>78.850102669404521</v>
      </c>
      <c r="AZ34" s="403"/>
      <c r="BA34" s="403"/>
      <c r="BB34" s="403"/>
      <c r="BC34" s="404"/>
      <c r="BD34" s="402">
        <f>SUM((BE33*360)/365.25)</f>
        <v>59.137577002053391</v>
      </c>
      <c r="BE34" s="403"/>
      <c r="BF34" s="403"/>
      <c r="BG34" s="403"/>
      <c r="BH34" s="404"/>
      <c r="BI34" s="402">
        <f>SUM((BJ33*360)/365.25)</f>
        <v>39.42505133470226</v>
      </c>
      <c r="BJ34" s="403"/>
      <c r="BK34" s="403"/>
      <c r="BL34" s="403"/>
      <c r="BM34" s="404"/>
      <c r="BN34" s="402">
        <f>SUM((BO33*360)/365.25)</f>
        <v>19.71252566735113</v>
      </c>
      <c r="BO34" s="403"/>
      <c r="BP34" s="403"/>
      <c r="BQ34" s="403"/>
      <c r="BR34" s="404"/>
      <c r="BS34" s="226"/>
      <c r="BT34" s="226"/>
      <c r="BU34" s="226"/>
      <c r="BV34" s="226"/>
      <c r="BW34" s="227"/>
      <c r="BX34" s="242"/>
      <c r="BY34" s="243"/>
      <c r="BZ34" s="243"/>
      <c r="CA34" s="243"/>
      <c r="CB34" s="244"/>
      <c r="CC34" s="219"/>
      <c r="CD34" s="220"/>
      <c r="CE34" s="220"/>
      <c r="CF34" s="220"/>
      <c r="CG34" s="221"/>
    </row>
    <row r="35" spans="1:85" ht="20.100000000000001" customHeight="1" thickTop="1">
      <c r="A35" s="200">
        <v>6</v>
      </c>
      <c r="B35" s="201"/>
      <c r="C35" s="201"/>
      <c r="D35" s="201"/>
      <c r="E35" s="202"/>
      <c r="F35" s="303" t="s">
        <v>73</v>
      </c>
      <c r="G35" s="304"/>
      <c r="H35" s="304"/>
      <c r="I35" s="304"/>
      <c r="J35" s="305"/>
      <c r="K35" s="298" t="s">
        <v>8</v>
      </c>
      <c r="L35" s="299"/>
      <c r="M35" s="299"/>
      <c r="N35" s="299"/>
      <c r="O35" s="300"/>
      <c r="P35" s="303" t="s">
        <v>73</v>
      </c>
      <c r="Q35" s="304"/>
      <c r="R35" s="304"/>
      <c r="S35" s="304"/>
      <c r="T35" s="305"/>
      <c r="U35" s="298" t="s">
        <v>8</v>
      </c>
      <c r="V35" s="299"/>
      <c r="W35" s="299"/>
      <c r="X35" s="299"/>
      <c r="Y35" s="300"/>
      <c r="Z35" s="303" t="s">
        <v>73</v>
      </c>
      <c r="AA35" s="304"/>
      <c r="AB35" s="304"/>
      <c r="AC35" s="304"/>
      <c r="AD35" s="305"/>
      <c r="AE35" s="298" t="s">
        <v>8</v>
      </c>
      <c r="AF35" s="299"/>
      <c r="AG35" s="299"/>
      <c r="AH35" s="299"/>
      <c r="AI35" s="300"/>
      <c r="AJ35" s="303" t="s">
        <v>73</v>
      </c>
      <c r="AK35" s="304"/>
      <c r="AL35" s="304"/>
      <c r="AM35" s="304"/>
      <c r="AN35" s="305"/>
      <c r="AO35" s="298" t="s">
        <v>8</v>
      </c>
      <c r="AP35" s="299"/>
      <c r="AQ35" s="299"/>
      <c r="AR35" s="299"/>
      <c r="AS35" s="300"/>
      <c r="AT35" s="303" t="s">
        <v>73</v>
      </c>
      <c r="AU35" s="304"/>
      <c r="AV35" s="304"/>
      <c r="AW35" s="304"/>
      <c r="AX35" s="305"/>
      <c r="AY35" s="298" t="s">
        <v>8</v>
      </c>
      <c r="AZ35" s="299"/>
      <c r="BA35" s="299"/>
      <c r="BB35" s="299"/>
      <c r="BC35" s="300"/>
      <c r="BD35" s="303" t="s">
        <v>73</v>
      </c>
      <c r="BE35" s="304"/>
      <c r="BF35" s="304"/>
      <c r="BG35" s="304"/>
      <c r="BH35" s="305"/>
      <c r="BI35" s="298" t="s">
        <v>8</v>
      </c>
      <c r="BJ35" s="299"/>
      <c r="BK35" s="299"/>
      <c r="BL35" s="299"/>
      <c r="BM35" s="300"/>
      <c r="BN35" s="303" t="s">
        <v>73</v>
      </c>
      <c r="BO35" s="304"/>
      <c r="BP35" s="304"/>
      <c r="BQ35" s="304"/>
      <c r="BR35" s="305"/>
      <c r="BS35" s="251" t="s">
        <v>9</v>
      </c>
      <c r="BT35" s="251"/>
      <c r="BU35" s="251"/>
      <c r="BV35" s="251"/>
      <c r="BW35" s="252"/>
      <c r="BX35" s="228">
        <v>6</v>
      </c>
      <c r="BY35" s="229"/>
      <c r="BZ35" s="229"/>
      <c r="CA35" s="229"/>
      <c r="CB35" s="230"/>
      <c r="CC35" s="213" t="s">
        <v>25</v>
      </c>
      <c r="CD35" s="214"/>
      <c r="CE35" s="214"/>
      <c r="CF35" s="214"/>
      <c r="CG35" s="215"/>
    </row>
    <row r="36" spans="1:85" ht="20.100000000000001" customHeight="1">
      <c r="A36" s="203"/>
      <c r="B36" s="204"/>
      <c r="C36" s="204"/>
      <c r="D36" s="204"/>
      <c r="E36" s="205"/>
      <c r="F36" s="283" t="s">
        <v>82</v>
      </c>
      <c r="G36" s="284"/>
      <c r="H36" s="284"/>
      <c r="I36" s="284"/>
      <c r="J36" s="285"/>
      <c r="K36" s="283" t="s">
        <v>99</v>
      </c>
      <c r="L36" s="284"/>
      <c r="M36" s="284"/>
      <c r="N36" s="284"/>
      <c r="O36" s="285"/>
      <c r="P36" s="283" t="s">
        <v>100</v>
      </c>
      <c r="Q36" s="284"/>
      <c r="R36" s="284"/>
      <c r="S36" s="284"/>
      <c r="T36" s="285"/>
      <c r="U36" s="283" t="s">
        <v>101</v>
      </c>
      <c r="V36" s="284"/>
      <c r="W36" s="284"/>
      <c r="X36" s="284"/>
      <c r="Y36" s="285"/>
      <c r="Z36" s="283" t="s">
        <v>102</v>
      </c>
      <c r="AA36" s="284"/>
      <c r="AB36" s="284"/>
      <c r="AC36" s="284"/>
      <c r="AD36" s="285"/>
      <c r="AE36" s="283" t="s">
        <v>103</v>
      </c>
      <c r="AF36" s="284"/>
      <c r="AG36" s="284"/>
      <c r="AH36" s="284"/>
      <c r="AI36" s="285"/>
      <c r="AJ36" s="283" t="s">
        <v>104</v>
      </c>
      <c r="AK36" s="284"/>
      <c r="AL36" s="284"/>
      <c r="AM36" s="284"/>
      <c r="AN36" s="285"/>
      <c r="AO36" s="283" t="s">
        <v>105</v>
      </c>
      <c r="AP36" s="284"/>
      <c r="AQ36" s="284"/>
      <c r="AR36" s="284"/>
      <c r="AS36" s="285"/>
      <c r="AT36" s="283" t="s">
        <v>106</v>
      </c>
      <c r="AU36" s="284"/>
      <c r="AV36" s="284"/>
      <c r="AW36" s="284"/>
      <c r="AX36" s="285"/>
      <c r="AY36" s="283" t="s">
        <v>107</v>
      </c>
      <c r="AZ36" s="284"/>
      <c r="BA36" s="284"/>
      <c r="BB36" s="284"/>
      <c r="BC36" s="285"/>
      <c r="BD36" s="283" t="s">
        <v>108</v>
      </c>
      <c r="BE36" s="284"/>
      <c r="BF36" s="284"/>
      <c r="BG36" s="284"/>
      <c r="BH36" s="285"/>
      <c r="BI36" s="283" t="s">
        <v>109</v>
      </c>
      <c r="BJ36" s="284"/>
      <c r="BK36" s="284"/>
      <c r="BL36" s="284"/>
      <c r="BM36" s="285"/>
      <c r="BN36" s="283" t="s">
        <v>110</v>
      </c>
      <c r="BO36" s="284"/>
      <c r="BP36" s="284"/>
      <c r="BQ36" s="284"/>
      <c r="BR36" s="285"/>
      <c r="BS36" s="253"/>
      <c r="BT36" s="253"/>
      <c r="BU36" s="253"/>
      <c r="BV36" s="253"/>
      <c r="BW36" s="254"/>
      <c r="BX36" s="231"/>
      <c r="BY36" s="232"/>
      <c r="BZ36" s="232"/>
      <c r="CA36" s="232"/>
      <c r="CB36" s="233"/>
      <c r="CC36" s="216"/>
      <c r="CD36" s="217"/>
      <c r="CE36" s="217"/>
      <c r="CF36" s="217"/>
      <c r="CG36" s="218"/>
    </row>
    <row r="37" spans="1:85" ht="20.100000000000001" customHeight="1">
      <c r="A37" s="203"/>
      <c r="B37" s="204"/>
      <c r="C37" s="204"/>
      <c r="D37" s="204"/>
      <c r="E37" s="205"/>
      <c r="F37" s="351">
        <f>SUM(2012-((360*G38)/365.25))</f>
        <v>-3113.2566735112932</v>
      </c>
      <c r="G37" s="352"/>
      <c r="H37" s="352"/>
      <c r="I37" s="352"/>
      <c r="J37" s="353"/>
      <c r="K37" s="351">
        <f t="shared" ref="K37:AP37" si="7">SUM(2012-((360*L38)/365.25))</f>
        <v>-2719.006160164271</v>
      </c>
      <c r="L37" s="352"/>
      <c r="M37" s="352"/>
      <c r="N37" s="352"/>
      <c r="O37" s="353"/>
      <c r="P37" s="351">
        <f t="shared" ref="P37:AU37" si="8">SUM(2012-((360*Q38)/365.25))</f>
        <v>-2324.7556468172488</v>
      </c>
      <c r="Q37" s="352"/>
      <c r="R37" s="352"/>
      <c r="S37" s="352"/>
      <c r="T37" s="353"/>
      <c r="U37" s="351">
        <f t="shared" ref="U37:AZ37" si="9">SUM(2012-((360*V38)/365.25))</f>
        <v>-1930.5051334702257</v>
      </c>
      <c r="V37" s="352"/>
      <c r="W37" s="352"/>
      <c r="X37" s="352"/>
      <c r="Y37" s="353"/>
      <c r="Z37" s="351">
        <f t="shared" ref="Z37:BR37" si="10">SUM(2012-((360*AA38)/365.25))</f>
        <v>-1536.2546201232035</v>
      </c>
      <c r="AA37" s="352"/>
      <c r="AB37" s="352"/>
      <c r="AC37" s="352"/>
      <c r="AD37" s="353"/>
      <c r="AE37" s="351">
        <f t="shared" ref="AE37:BR37" si="11">SUM(2012-((360*AF38)/365.25))</f>
        <v>-1142.0041067761808</v>
      </c>
      <c r="AF37" s="352"/>
      <c r="AG37" s="352"/>
      <c r="AH37" s="352"/>
      <c r="AI37" s="353"/>
      <c r="AJ37" s="351">
        <f t="shared" ref="AJ37:BR37" si="12">SUM(2012-((360*AK38)/365.25))</f>
        <v>-747.75359342915817</v>
      </c>
      <c r="AK37" s="352"/>
      <c r="AL37" s="352"/>
      <c r="AM37" s="352"/>
      <c r="AN37" s="353"/>
      <c r="AO37" s="351">
        <f t="shared" ref="AO37:BR37" si="13">SUM(2012-((360*AP38)/365.25))</f>
        <v>-353.50308008213551</v>
      </c>
      <c r="AP37" s="352"/>
      <c r="AQ37" s="352"/>
      <c r="AR37" s="352"/>
      <c r="AS37" s="353"/>
      <c r="AT37" s="351">
        <f t="shared" ref="AT37:BR37" si="14">SUM(2012-((360*AU38)/365.25))</f>
        <v>40.74743326488715</v>
      </c>
      <c r="AU37" s="352"/>
      <c r="AV37" s="352"/>
      <c r="AW37" s="352"/>
      <c r="AX37" s="353"/>
      <c r="AY37" s="351">
        <f t="shared" ref="AY37:BR37" si="15">SUM(2012-((360*AZ38)/365.25))</f>
        <v>434.99794661190958</v>
      </c>
      <c r="AZ37" s="352"/>
      <c r="BA37" s="352"/>
      <c r="BB37" s="352"/>
      <c r="BC37" s="353"/>
      <c r="BD37" s="351">
        <f t="shared" ref="BD37:BR37" si="16">SUM(2012-((360*BE38)/365.25))</f>
        <v>829.24845995893224</v>
      </c>
      <c r="BE37" s="352"/>
      <c r="BF37" s="352"/>
      <c r="BG37" s="352"/>
      <c r="BH37" s="353"/>
      <c r="BI37" s="351">
        <f t="shared" ref="BI37:BR37" si="17">SUM(2012-((360*BJ38)/365.25))</f>
        <v>1223.4989733059547</v>
      </c>
      <c r="BJ37" s="352"/>
      <c r="BK37" s="352"/>
      <c r="BL37" s="352"/>
      <c r="BM37" s="353"/>
      <c r="BN37" s="351">
        <f t="shared" ref="BN37:BR37" si="18">SUM(2012-((360*BO38)/365.25))</f>
        <v>1617.7494866529773</v>
      </c>
      <c r="BO37" s="352"/>
      <c r="BP37" s="352"/>
      <c r="BQ37" s="352"/>
      <c r="BR37" s="353"/>
      <c r="BS37" s="253"/>
      <c r="BT37" s="253"/>
      <c r="BU37" s="253"/>
      <c r="BV37" s="253"/>
      <c r="BW37" s="254"/>
      <c r="BX37" s="231"/>
      <c r="BY37" s="232"/>
      <c r="BZ37" s="232"/>
      <c r="CA37" s="232"/>
      <c r="CB37" s="233"/>
      <c r="CC37" s="216"/>
      <c r="CD37" s="217"/>
      <c r="CE37" s="217"/>
      <c r="CF37" s="217"/>
      <c r="CG37" s="218"/>
    </row>
    <row r="38" spans="1:85" ht="20.100000000000001" customHeight="1">
      <c r="A38" s="203"/>
      <c r="B38" s="204"/>
      <c r="C38" s="204"/>
      <c r="D38" s="204"/>
      <c r="E38" s="205"/>
      <c r="F38" s="39" t="s">
        <v>75</v>
      </c>
      <c r="G38" s="294">
        <f>SUM(13*(20*20))</f>
        <v>5200</v>
      </c>
      <c r="H38" s="294"/>
      <c r="I38" s="294"/>
      <c r="J38" s="295"/>
      <c r="K38" s="39" t="s">
        <v>75</v>
      </c>
      <c r="L38" s="294">
        <f>SUM(12*(20*20))</f>
        <v>4800</v>
      </c>
      <c r="M38" s="294"/>
      <c r="N38" s="294"/>
      <c r="O38" s="295"/>
      <c r="P38" s="39" t="s">
        <v>75</v>
      </c>
      <c r="Q38" s="294">
        <f>SUM(11*(20*20))</f>
        <v>4400</v>
      </c>
      <c r="R38" s="294"/>
      <c r="S38" s="294"/>
      <c r="T38" s="295"/>
      <c r="U38" s="39" t="s">
        <v>75</v>
      </c>
      <c r="V38" s="294">
        <f>SUM(10*(20*20))</f>
        <v>4000</v>
      </c>
      <c r="W38" s="294"/>
      <c r="X38" s="294"/>
      <c r="Y38" s="295"/>
      <c r="Z38" s="39" t="s">
        <v>75</v>
      </c>
      <c r="AA38" s="294">
        <f>SUM(9*(20*20))</f>
        <v>3600</v>
      </c>
      <c r="AB38" s="294"/>
      <c r="AC38" s="294"/>
      <c r="AD38" s="295"/>
      <c r="AE38" s="39" t="s">
        <v>75</v>
      </c>
      <c r="AF38" s="294">
        <f>SUM(8*(20*20))</f>
        <v>3200</v>
      </c>
      <c r="AG38" s="294"/>
      <c r="AH38" s="294"/>
      <c r="AI38" s="295"/>
      <c r="AJ38" s="39" t="s">
        <v>75</v>
      </c>
      <c r="AK38" s="294">
        <f>SUM(7*(20*20))</f>
        <v>2800</v>
      </c>
      <c r="AL38" s="294"/>
      <c r="AM38" s="294"/>
      <c r="AN38" s="295"/>
      <c r="AO38" s="39" t="s">
        <v>75</v>
      </c>
      <c r="AP38" s="294">
        <f>SUM(6*(20*20))</f>
        <v>2400</v>
      </c>
      <c r="AQ38" s="294"/>
      <c r="AR38" s="294"/>
      <c r="AS38" s="295"/>
      <c r="AT38" s="39" t="s">
        <v>75</v>
      </c>
      <c r="AU38" s="294">
        <f>SUM(5*(20*20))</f>
        <v>2000</v>
      </c>
      <c r="AV38" s="294"/>
      <c r="AW38" s="294"/>
      <c r="AX38" s="295"/>
      <c r="AY38" s="39" t="s">
        <v>75</v>
      </c>
      <c r="AZ38" s="294">
        <f>SUM(4*(20*20))</f>
        <v>1600</v>
      </c>
      <c r="BA38" s="294"/>
      <c r="BB38" s="294"/>
      <c r="BC38" s="295"/>
      <c r="BD38" s="39" t="s">
        <v>75</v>
      </c>
      <c r="BE38" s="294">
        <f>SUM(3*(20*20))</f>
        <v>1200</v>
      </c>
      <c r="BF38" s="294"/>
      <c r="BG38" s="294"/>
      <c r="BH38" s="295"/>
      <c r="BI38" s="39" t="s">
        <v>75</v>
      </c>
      <c r="BJ38" s="294">
        <f>SUM(2*(20*20))</f>
        <v>800</v>
      </c>
      <c r="BK38" s="294"/>
      <c r="BL38" s="294"/>
      <c r="BM38" s="295"/>
      <c r="BN38" s="39" t="s">
        <v>75</v>
      </c>
      <c r="BO38" s="294">
        <f>SUM(1*(20*20))</f>
        <v>400</v>
      </c>
      <c r="BP38" s="294"/>
      <c r="BQ38" s="294"/>
      <c r="BR38" s="295"/>
      <c r="BS38" s="253"/>
      <c r="BT38" s="253"/>
      <c r="BU38" s="253"/>
      <c r="BV38" s="253"/>
      <c r="BW38" s="254"/>
      <c r="BX38" s="231"/>
      <c r="BY38" s="232"/>
      <c r="BZ38" s="232"/>
      <c r="CA38" s="232"/>
      <c r="CB38" s="233"/>
      <c r="CC38" s="216"/>
      <c r="CD38" s="217"/>
      <c r="CE38" s="217"/>
      <c r="CF38" s="217"/>
      <c r="CG38" s="218"/>
    </row>
    <row r="39" spans="1:85" ht="20.100000000000001" customHeight="1" thickBot="1">
      <c r="A39" s="206"/>
      <c r="B39" s="207"/>
      <c r="C39" s="207"/>
      <c r="D39" s="207"/>
      <c r="E39" s="208"/>
      <c r="F39" s="399">
        <f>SUM(G38*360)/365.25</f>
        <v>5125.2566735112932</v>
      </c>
      <c r="G39" s="400"/>
      <c r="H39" s="400"/>
      <c r="I39" s="400"/>
      <c r="J39" s="401"/>
      <c r="K39" s="399">
        <f>SUM(L38*360)/365.25</f>
        <v>4731.006160164271</v>
      </c>
      <c r="L39" s="400"/>
      <c r="M39" s="400"/>
      <c r="N39" s="400"/>
      <c r="O39" s="401"/>
      <c r="P39" s="399">
        <f>SUM(Q38*360)/365.25</f>
        <v>4336.7556468172488</v>
      </c>
      <c r="Q39" s="400"/>
      <c r="R39" s="400"/>
      <c r="S39" s="400"/>
      <c r="T39" s="401"/>
      <c r="U39" s="399">
        <f>SUM(V38*360)/365.25</f>
        <v>3942.5051334702257</v>
      </c>
      <c r="V39" s="400"/>
      <c r="W39" s="400"/>
      <c r="X39" s="400"/>
      <c r="Y39" s="401"/>
      <c r="Z39" s="399">
        <f>SUM(AA38*360)/365.25</f>
        <v>3548.2546201232035</v>
      </c>
      <c r="AA39" s="400"/>
      <c r="AB39" s="400"/>
      <c r="AC39" s="400"/>
      <c r="AD39" s="401"/>
      <c r="AE39" s="399">
        <f>SUM(AF38*360)/365.25</f>
        <v>3154.0041067761808</v>
      </c>
      <c r="AF39" s="400"/>
      <c r="AG39" s="400"/>
      <c r="AH39" s="400"/>
      <c r="AI39" s="401"/>
      <c r="AJ39" s="399">
        <f>SUM(AK38*360)/365.25</f>
        <v>2759.7535934291582</v>
      </c>
      <c r="AK39" s="400"/>
      <c r="AL39" s="400"/>
      <c r="AM39" s="400"/>
      <c r="AN39" s="401"/>
      <c r="AO39" s="399">
        <f>SUM(AP38*360)/365.25</f>
        <v>2365.5030800821355</v>
      </c>
      <c r="AP39" s="400"/>
      <c r="AQ39" s="400"/>
      <c r="AR39" s="400"/>
      <c r="AS39" s="401"/>
      <c r="AT39" s="399">
        <f>SUM(AU38*360)/365.25</f>
        <v>1971.2525667351129</v>
      </c>
      <c r="AU39" s="400"/>
      <c r="AV39" s="400"/>
      <c r="AW39" s="400"/>
      <c r="AX39" s="401"/>
      <c r="AY39" s="399">
        <f>SUM(AZ38*360)/365.25</f>
        <v>1577.0020533880904</v>
      </c>
      <c r="AZ39" s="400"/>
      <c r="BA39" s="400"/>
      <c r="BB39" s="400"/>
      <c r="BC39" s="401"/>
      <c r="BD39" s="399">
        <f>SUM(BE38*360)/365.25</f>
        <v>1182.7515400410678</v>
      </c>
      <c r="BE39" s="400"/>
      <c r="BF39" s="400"/>
      <c r="BG39" s="400"/>
      <c r="BH39" s="401"/>
      <c r="BI39" s="399">
        <f>SUM(BJ38*360)/365.25</f>
        <v>788.50102669404521</v>
      </c>
      <c r="BJ39" s="400"/>
      <c r="BK39" s="400"/>
      <c r="BL39" s="400"/>
      <c r="BM39" s="401"/>
      <c r="BN39" s="399">
        <f>SUM(BO38*360)/365.25</f>
        <v>394.2505133470226</v>
      </c>
      <c r="BO39" s="400"/>
      <c r="BP39" s="400"/>
      <c r="BQ39" s="400"/>
      <c r="BR39" s="401"/>
      <c r="BS39" s="255"/>
      <c r="BT39" s="255"/>
      <c r="BU39" s="255"/>
      <c r="BV39" s="255"/>
      <c r="BW39" s="256"/>
      <c r="BX39" s="234"/>
      <c r="BY39" s="235"/>
      <c r="BZ39" s="235"/>
      <c r="CA39" s="235"/>
      <c r="CB39" s="236"/>
      <c r="CC39" s="219"/>
      <c r="CD39" s="220"/>
      <c r="CE39" s="220"/>
      <c r="CF39" s="220"/>
      <c r="CG39" s="221"/>
    </row>
    <row r="40" spans="1:85" ht="20.100000000000001" customHeight="1" thickTop="1">
      <c r="A40" s="200">
        <v>5</v>
      </c>
      <c r="B40" s="201"/>
      <c r="C40" s="201"/>
      <c r="D40" s="201"/>
      <c r="E40" s="202"/>
      <c r="F40" s="298" t="s">
        <v>72</v>
      </c>
      <c r="G40" s="299"/>
      <c r="H40" s="299"/>
      <c r="I40" s="299"/>
      <c r="J40" s="300"/>
      <c r="K40" s="298" t="s">
        <v>33</v>
      </c>
      <c r="L40" s="299"/>
      <c r="M40" s="299"/>
      <c r="N40" s="299"/>
      <c r="O40" s="300"/>
      <c r="P40" s="298" t="s">
        <v>72</v>
      </c>
      <c r="Q40" s="299"/>
      <c r="R40" s="299"/>
      <c r="S40" s="299"/>
      <c r="T40" s="300"/>
      <c r="U40" s="298" t="s">
        <v>33</v>
      </c>
      <c r="V40" s="299"/>
      <c r="W40" s="299"/>
      <c r="X40" s="299"/>
      <c r="Y40" s="300"/>
      <c r="Z40" s="298" t="s">
        <v>72</v>
      </c>
      <c r="AA40" s="299"/>
      <c r="AB40" s="299"/>
      <c r="AC40" s="299"/>
      <c r="AD40" s="300"/>
      <c r="AE40" s="298" t="s">
        <v>33</v>
      </c>
      <c r="AF40" s="299"/>
      <c r="AG40" s="299"/>
      <c r="AH40" s="299"/>
      <c r="AI40" s="300"/>
      <c r="AJ40" s="298" t="s">
        <v>72</v>
      </c>
      <c r="AK40" s="299"/>
      <c r="AL40" s="299"/>
      <c r="AM40" s="299"/>
      <c r="AN40" s="300"/>
      <c r="AO40" s="298" t="s">
        <v>33</v>
      </c>
      <c r="AP40" s="299"/>
      <c r="AQ40" s="299"/>
      <c r="AR40" s="299"/>
      <c r="AS40" s="300"/>
      <c r="AT40" s="298" t="s">
        <v>72</v>
      </c>
      <c r="AU40" s="299"/>
      <c r="AV40" s="299"/>
      <c r="AW40" s="299"/>
      <c r="AX40" s="300"/>
      <c r="AY40" s="298" t="s">
        <v>33</v>
      </c>
      <c r="AZ40" s="299"/>
      <c r="BA40" s="299"/>
      <c r="BB40" s="299"/>
      <c r="BC40" s="300"/>
      <c r="BD40" s="298" t="s">
        <v>72</v>
      </c>
      <c r="BE40" s="299"/>
      <c r="BF40" s="299"/>
      <c r="BG40" s="299"/>
      <c r="BH40" s="300"/>
      <c r="BI40" s="298" t="s">
        <v>33</v>
      </c>
      <c r="BJ40" s="299"/>
      <c r="BK40" s="299"/>
      <c r="BL40" s="299"/>
      <c r="BM40" s="300"/>
      <c r="BN40" s="298" t="s">
        <v>72</v>
      </c>
      <c r="BO40" s="299"/>
      <c r="BP40" s="299"/>
      <c r="BQ40" s="299"/>
      <c r="BR40" s="300"/>
      <c r="BS40" s="245" t="s">
        <v>11</v>
      </c>
      <c r="BT40" s="245"/>
      <c r="BU40" s="245"/>
      <c r="BV40" s="245"/>
      <c r="BW40" s="246"/>
      <c r="BX40" s="237">
        <v>5</v>
      </c>
      <c r="BY40" s="238"/>
      <c r="BZ40" s="238"/>
      <c r="CA40" s="238"/>
      <c r="CB40" s="239"/>
      <c r="CC40" s="213" t="s">
        <v>24</v>
      </c>
      <c r="CD40" s="214"/>
      <c r="CE40" s="214"/>
      <c r="CF40" s="214"/>
      <c r="CG40" s="215"/>
    </row>
    <row r="41" spans="1:85" ht="20.100000000000001" customHeight="1">
      <c r="A41" s="203"/>
      <c r="B41" s="204"/>
      <c r="C41" s="204"/>
      <c r="D41" s="204"/>
      <c r="E41" s="205"/>
      <c r="F41" s="283" t="s">
        <v>81</v>
      </c>
      <c r="G41" s="284"/>
      <c r="H41" s="284"/>
      <c r="I41" s="284"/>
      <c r="J41" s="285"/>
      <c r="K41" s="283" t="s">
        <v>121</v>
      </c>
      <c r="L41" s="284"/>
      <c r="M41" s="284"/>
      <c r="N41" s="284"/>
      <c r="O41" s="285"/>
      <c r="P41" s="283" t="s">
        <v>122</v>
      </c>
      <c r="Q41" s="284"/>
      <c r="R41" s="284"/>
      <c r="S41" s="284"/>
      <c r="T41" s="285"/>
      <c r="U41" s="283" t="s">
        <v>123</v>
      </c>
      <c r="V41" s="284"/>
      <c r="W41" s="284"/>
      <c r="X41" s="284"/>
      <c r="Y41" s="285"/>
      <c r="Z41" s="283" t="s">
        <v>124</v>
      </c>
      <c r="AA41" s="284"/>
      <c r="AB41" s="284"/>
      <c r="AC41" s="284"/>
      <c r="AD41" s="285"/>
      <c r="AE41" s="283" t="s">
        <v>125</v>
      </c>
      <c r="AF41" s="284"/>
      <c r="AG41" s="284"/>
      <c r="AH41" s="284"/>
      <c r="AI41" s="285"/>
      <c r="AJ41" s="283" t="s">
        <v>126</v>
      </c>
      <c r="AK41" s="284"/>
      <c r="AL41" s="284"/>
      <c r="AM41" s="284"/>
      <c r="AN41" s="285"/>
      <c r="AO41" s="283" t="s">
        <v>127</v>
      </c>
      <c r="AP41" s="284"/>
      <c r="AQ41" s="284"/>
      <c r="AR41" s="284"/>
      <c r="AS41" s="285"/>
      <c r="AT41" s="283" t="s">
        <v>128</v>
      </c>
      <c r="AU41" s="284"/>
      <c r="AV41" s="284"/>
      <c r="AW41" s="284"/>
      <c r="AX41" s="285"/>
      <c r="AY41" s="283" t="s">
        <v>129</v>
      </c>
      <c r="AZ41" s="284"/>
      <c r="BA41" s="284"/>
      <c r="BB41" s="284"/>
      <c r="BC41" s="285"/>
      <c r="BD41" s="283" t="s">
        <v>130</v>
      </c>
      <c r="BE41" s="284"/>
      <c r="BF41" s="284"/>
      <c r="BG41" s="284"/>
      <c r="BH41" s="285"/>
      <c r="BI41" s="283" t="s">
        <v>131</v>
      </c>
      <c r="BJ41" s="284"/>
      <c r="BK41" s="284"/>
      <c r="BL41" s="284"/>
      <c r="BM41" s="285"/>
      <c r="BN41" s="283" t="s">
        <v>132</v>
      </c>
      <c r="BO41" s="284"/>
      <c r="BP41" s="284"/>
      <c r="BQ41" s="284"/>
      <c r="BR41" s="285"/>
      <c r="BS41" s="247"/>
      <c r="BT41" s="247"/>
      <c r="BU41" s="247"/>
      <c r="BV41" s="247"/>
      <c r="BW41" s="248"/>
      <c r="BX41" s="240"/>
      <c r="BY41" s="204"/>
      <c r="BZ41" s="204"/>
      <c r="CA41" s="204"/>
      <c r="CB41" s="241"/>
      <c r="CC41" s="216"/>
      <c r="CD41" s="217"/>
      <c r="CE41" s="217"/>
      <c r="CF41" s="217"/>
      <c r="CG41" s="218"/>
    </row>
    <row r="42" spans="1:85" ht="20.100000000000001" customHeight="1">
      <c r="A42" s="203"/>
      <c r="B42" s="204"/>
      <c r="C42" s="204"/>
      <c r="D42" s="204"/>
      <c r="E42" s="205"/>
      <c r="F42" s="369">
        <f>SUM(2012-((360*G43)/365.25))</f>
        <v>-100493.13347022588</v>
      </c>
      <c r="G42" s="370"/>
      <c r="H42" s="370"/>
      <c r="I42" s="370"/>
      <c r="J42" s="371"/>
      <c r="K42" s="369">
        <f t="shared" ref="K42:AP42" si="19">SUM(2012-((360*L43)/365.25))</f>
        <v>-92608.123203285417</v>
      </c>
      <c r="L42" s="370"/>
      <c r="M42" s="370"/>
      <c r="N42" s="370"/>
      <c r="O42" s="371"/>
      <c r="P42" s="369">
        <f t="shared" ref="P42:AU42" si="20">SUM(2012-((360*Q43)/365.25))</f>
        <v>-84723.112936344973</v>
      </c>
      <c r="Q42" s="370"/>
      <c r="R42" s="370"/>
      <c r="S42" s="370"/>
      <c r="T42" s="371"/>
      <c r="U42" s="369">
        <f t="shared" ref="U42:BM42" si="21">SUM(2012-((360*V43)/365.25))</f>
        <v>-76838.102669404514</v>
      </c>
      <c r="V42" s="370"/>
      <c r="W42" s="370"/>
      <c r="X42" s="370"/>
      <c r="Y42" s="371"/>
      <c r="Z42" s="369">
        <f t="shared" ref="Z42:BM42" si="22">SUM(2012-((360*AA43)/365.25))</f>
        <v>-68953.09240246407</v>
      </c>
      <c r="AA42" s="370"/>
      <c r="AB42" s="370"/>
      <c r="AC42" s="370"/>
      <c r="AD42" s="371"/>
      <c r="AE42" s="369">
        <f t="shared" ref="AE42:BM42" si="23">SUM(2012-((360*AF43)/365.25))</f>
        <v>-61068.082135523611</v>
      </c>
      <c r="AF42" s="370"/>
      <c r="AG42" s="370"/>
      <c r="AH42" s="370"/>
      <c r="AI42" s="371"/>
      <c r="AJ42" s="369">
        <f t="shared" ref="AJ42:BM42" si="24">SUM(2012-((360*AK43)/365.25))</f>
        <v>-53183.07186858316</v>
      </c>
      <c r="AK42" s="370"/>
      <c r="AL42" s="370"/>
      <c r="AM42" s="370"/>
      <c r="AN42" s="371"/>
      <c r="AO42" s="369">
        <f t="shared" ref="AO42:BM42" si="25">SUM(2012-((360*AP43)/365.25))</f>
        <v>-45298.061601642708</v>
      </c>
      <c r="AP42" s="370"/>
      <c r="AQ42" s="370"/>
      <c r="AR42" s="370"/>
      <c r="AS42" s="371"/>
      <c r="AT42" s="369">
        <f t="shared" ref="AT42:BM42" si="26">SUM(2012-((360*AU43)/365.25))</f>
        <v>-37413.051334702257</v>
      </c>
      <c r="AU42" s="370"/>
      <c r="AV42" s="370"/>
      <c r="AW42" s="370"/>
      <c r="AX42" s="371"/>
      <c r="AY42" s="369">
        <f t="shared" ref="AY42:BM42" si="27">SUM(2012-((360*AZ43)/365.25))</f>
        <v>-29528.041067761806</v>
      </c>
      <c r="AZ42" s="370"/>
      <c r="BA42" s="370"/>
      <c r="BB42" s="370"/>
      <c r="BC42" s="371"/>
      <c r="BD42" s="369">
        <f t="shared" ref="BD42:BM42" si="28">SUM(2012-((360*BE43)/365.25))</f>
        <v>-21643.030800821354</v>
      </c>
      <c r="BE42" s="370"/>
      <c r="BF42" s="370"/>
      <c r="BG42" s="370"/>
      <c r="BH42" s="371"/>
      <c r="BI42" s="369">
        <f t="shared" ref="BI42:BM42" si="29">SUM(2012-((360*BJ43)/365.25))</f>
        <v>-13758.020533880903</v>
      </c>
      <c r="BJ42" s="370"/>
      <c r="BK42" s="370"/>
      <c r="BL42" s="370"/>
      <c r="BM42" s="371"/>
      <c r="BN42" s="369">
        <f>SUM(2012-((360*BO43)/365.25))</f>
        <v>-5873.0102669404514</v>
      </c>
      <c r="BO42" s="370"/>
      <c r="BP42" s="370"/>
      <c r="BQ42" s="370"/>
      <c r="BR42" s="371"/>
      <c r="BS42" s="247"/>
      <c r="BT42" s="247"/>
      <c r="BU42" s="247"/>
      <c r="BV42" s="247"/>
      <c r="BW42" s="248"/>
      <c r="BX42" s="240"/>
      <c r="BY42" s="204"/>
      <c r="BZ42" s="204"/>
      <c r="CA42" s="204"/>
      <c r="CB42" s="241"/>
      <c r="CC42" s="216"/>
      <c r="CD42" s="217"/>
      <c r="CE42" s="217"/>
      <c r="CF42" s="217"/>
      <c r="CG42" s="218"/>
    </row>
    <row r="43" spans="1:85" ht="20.100000000000001" customHeight="1">
      <c r="A43" s="203"/>
      <c r="B43" s="204"/>
      <c r="C43" s="204"/>
      <c r="D43" s="204"/>
      <c r="E43" s="205"/>
      <c r="F43" s="41" t="s">
        <v>75</v>
      </c>
      <c r="G43" s="301">
        <f>SUM(13*(20*20*20))</f>
        <v>104000</v>
      </c>
      <c r="H43" s="301"/>
      <c r="I43" s="301"/>
      <c r="J43" s="302"/>
      <c r="K43" s="41" t="s">
        <v>75</v>
      </c>
      <c r="L43" s="301">
        <f>SUM(12*(20*20*20))</f>
        <v>96000</v>
      </c>
      <c r="M43" s="301"/>
      <c r="N43" s="301"/>
      <c r="O43" s="302"/>
      <c r="P43" s="41" t="s">
        <v>75</v>
      </c>
      <c r="Q43" s="301">
        <f>SUM(11*(20*20*20))</f>
        <v>88000</v>
      </c>
      <c r="R43" s="301"/>
      <c r="S43" s="301"/>
      <c r="T43" s="302"/>
      <c r="U43" s="41" t="s">
        <v>75</v>
      </c>
      <c r="V43" s="301">
        <f>SUM(10*(20*20*20))</f>
        <v>80000</v>
      </c>
      <c r="W43" s="301"/>
      <c r="X43" s="301"/>
      <c r="Y43" s="302"/>
      <c r="Z43" s="41" t="s">
        <v>75</v>
      </c>
      <c r="AA43" s="301">
        <f>SUM(9*(20*20*20))</f>
        <v>72000</v>
      </c>
      <c r="AB43" s="301"/>
      <c r="AC43" s="301"/>
      <c r="AD43" s="302"/>
      <c r="AE43" s="41" t="s">
        <v>75</v>
      </c>
      <c r="AF43" s="301">
        <f>SUM(8*(20*20*20))</f>
        <v>64000</v>
      </c>
      <c r="AG43" s="301"/>
      <c r="AH43" s="301"/>
      <c r="AI43" s="302"/>
      <c r="AJ43" s="41" t="s">
        <v>75</v>
      </c>
      <c r="AK43" s="301">
        <f>SUM(7*(20*20*20))</f>
        <v>56000</v>
      </c>
      <c r="AL43" s="301"/>
      <c r="AM43" s="301"/>
      <c r="AN43" s="302"/>
      <c r="AO43" s="41" t="s">
        <v>75</v>
      </c>
      <c r="AP43" s="301">
        <f>SUM(6*(20*20*20))</f>
        <v>48000</v>
      </c>
      <c r="AQ43" s="301"/>
      <c r="AR43" s="301"/>
      <c r="AS43" s="302"/>
      <c r="AT43" s="41" t="s">
        <v>75</v>
      </c>
      <c r="AU43" s="301">
        <f>SUM(5*(20*20*20))</f>
        <v>40000</v>
      </c>
      <c r="AV43" s="301"/>
      <c r="AW43" s="301"/>
      <c r="AX43" s="302"/>
      <c r="AY43" s="41" t="s">
        <v>75</v>
      </c>
      <c r="AZ43" s="301">
        <f>SUM(4*(20*20*20))</f>
        <v>32000</v>
      </c>
      <c r="BA43" s="301"/>
      <c r="BB43" s="301"/>
      <c r="BC43" s="302"/>
      <c r="BD43" s="41" t="s">
        <v>75</v>
      </c>
      <c r="BE43" s="301">
        <f>SUM(3*(20*20*20))</f>
        <v>24000</v>
      </c>
      <c r="BF43" s="301"/>
      <c r="BG43" s="301"/>
      <c r="BH43" s="302"/>
      <c r="BI43" s="41" t="s">
        <v>75</v>
      </c>
      <c r="BJ43" s="301">
        <f>SUM(2*(20*20*20))</f>
        <v>16000</v>
      </c>
      <c r="BK43" s="301"/>
      <c r="BL43" s="301"/>
      <c r="BM43" s="302"/>
      <c r="BN43" s="41" t="s">
        <v>75</v>
      </c>
      <c r="BO43" s="301">
        <f>SUM(1*(20*20*20))</f>
        <v>8000</v>
      </c>
      <c r="BP43" s="301"/>
      <c r="BQ43" s="301"/>
      <c r="BR43" s="302"/>
      <c r="BS43" s="247"/>
      <c r="BT43" s="247"/>
      <c r="BU43" s="247"/>
      <c r="BV43" s="247"/>
      <c r="BW43" s="248"/>
      <c r="BX43" s="240"/>
      <c r="BY43" s="204"/>
      <c r="BZ43" s="204"/>
      <c r="CA43" s="204"/>
      <c r="CB43" s="241"/>
      <c r="CC43" s="216"/>
      <c r="CD43" s="217"/>
      <c r="CE43" s="217"/>
      <c r="CF43" s="217"/>
      <c r="CG43" s="218"/>
    </row>
    <row r="44" spans="1:85" ht="20.100000000000001" customHeight="1" thickBot="1">
      <c r="A44" s="206"/>
      <c r="B44" s="207"/>
      <c r="C44" s="207"/>
      <c r="D44" s="207"/>
      <c r="E44" s="208"/>
      <c r="F44" s="396">
        <f>SUM(G43*360)/365.25</f>
        <v>102505.13347022588</v>
      </c>
      <c r="G44" s="397"/>
      <c r="H44" s="397"/>
      <c r="I44" s="397"/>
      <c r="J44" s="398"/>
      <c r="K44" s="396">
        <f>SUM(L43*360)/365.25</f>
        <v>94620.123203285417</v>
      </c>
      <c r="L44" s="397"/>
      <c r="M44" s="397"/>
      <c r="N44" s="397"/>
      <c r="O44" s="398"/>
      <c r="P44" s="396">
        <f>SUM(Q43*360)/365.25</f>
        <v>86735.112936344973</v>
      </c>
      <c r="Q44" s="397"/>
      <c r="R44" s="397"/>
      <c r="S44" s="397"/>
      <c r="T44" s="398"/>
      <c r="U44" s="396">
        <f>SUM(V43*360)/365.25</f>
        <v>78850.102669404514</v>
      </c>
      <c r="V44" s="397"/>
      <c r="W44" s="397"/>
      <c r="X44" s="397"/>
      <c r="Y44" s="398"/>
      <c r="Z44" s="396">
        <f>SUM(AA43*360)/365.25</f>
        <v>70965.09240246407</v>
      </c>
      <c r="AA44" s="397"/>
      <c r="AB44" s="397"/>
      <c r="AC44" s="397"/>
      <c r="AD44" s="398"/>
      <c r="AE44" s="396">
        <f>SUM(AF43*360)/365.25</f>
        <v>63080.082135523611</v>
      </c>
      <c r="AF44" s="397"/>
      <c r="AG44" s="397"/>
      <c r="AH44" s="397"/>
      <c r="AI44" s="398"/>
      <c r="AJ44" s="396">
        <f>SUM(AK43*360)/365.25</f>
        <v>55195.07186858316</v>
      </c>
      <c r="AK44" s="397"/>
      <c r="AL44" s="397"/>
      <c r="AM44" s="397"/>
      <c r="AN44" s="398"/>
      <c r="AO44" s="396">
        <f>SUM(AP43*360)/365.25</f>
        <v>47310.061601642708</v>
      </c>
      <c r="AP44" s="397"/>
      <c r="AQ44" s="397"/>
      <c r="AR44" s="397"/>
      <c r="AS44" s="398"/>
      <c r="AT44" s="396">
        <f>SUM(AU43*360)/365.25</f>
        <v>39425.051334702257</v>
      </c>
      <c r="AU44" s="397"/>
      <c r="AV44" s="397"/>
      <c r="AW44" s="397"/>
      <c r="AX44" s="398"/>
      <c r="AY44" s="396">
        <f>SUM(AZ43*360)/365.25</f>
        <v>31540.041067761806</v>
      </c>
      <c r="AZ44" s="397"/>
      <c r="BA44" s="397"/>
      <c r="BB44" s="397"/>
      <c r="BC44" s="398"/>
      <c r="BD44" s="396">
        <f>SUM(BE43*360)/365.25</f>
        <v>23655.030800821354</v>
      </c>
      <c r="BE44" s="397"/>
      <c r="BF44" s="397"/>
      <c r="BG44" s="397"/>
      <c r="BH44" s="398"/>
      <c r="BI44" s="396">
        <f>SUM(BJ43*360)/365.25</f>
        <v>15770.020533880903</v>
      </c>
      <c r="BJ44" s="397"/>
      <c r="BK44" s="397"/>
      <c r="BL44" s="397"/>
      <c r="BM44" s="398"/>
      <c r="BN44" s="396">
        <f>SUM(BO43*360)/365.25</f>
        <v>7885.0102669404514</v>
      </c>
      <c r="BO44" s="397"/>
      <c r="BP44" s="397"/>
      <c r="BQ44" s="397"/>
      <c r="BR44" s="398"/>
      <c r="BS44" s="249"/>
      <c r="BT44" s="249"/>
      <c r="BU44" s="249"/>
      <c r="BV44" s="249"/>
      <c r="BW44" s="250"/>
      <c r="BX44" s="242"/>
      <c r="BY44" s="243"/>
      <c r="BZ44" s="243"/>
      <c r="CA44" s="243"/>
      <c r="CB44" s="244"/>
      <c r="CC44" s="219"/>
      <c r="CD44" s="220"/>
      <c r="CE44" s="220"/>
      <c r="CF44" s="220"/>
      <c r="CG44" s="221"/>
    </row>
    <row r="45" spans="1:85" ht="20.100000000000001" customHeight="1" thickTop="1">
      <c r="A45" s="200">
        <v>4</v>
      </c>
      <c r="B45" s="201"/>
      <c r="C45" s="201"/>
      <c r="D45" s="201"/>
      <c r="E45" s="202"/>
      <c r="F45" s="303" t="s">
        <v>71</v>
      </c>
      <c r="G45" s="304"/>
      <c r="H45" s="304"/>
      <c r="I45" s="304"/>
      <c r="J45" s="305"/>
      <c r="K45" s="416" t="s">
        <v>187</v>
      </c>
      <c r="L45" s="417"/>
      <c r="M45" s="417"/>
      <c r="N45" s="417"/>
      <c r="O45" s="418"/>
      <c r="P45" s="312" t="s">
        <v>71</v>
      </c>
      <c r="Q45" s="313"/>
      <c r="R45" s="313"/>
      <c r="S45" s="313"/>
      <c r="T45" s="314"/>
      <c r="U45" s="416" t="s">
        <v>187</v>
      </c>
      <c r="V45" s="417"/>
      <c r="W45" s="417"/>
      <c r="X45" s="417"/>
      <c r="Y45" s="418"/>
      <c r="Z45" s="312" t="s">
        <v>71</v>
      </c>
      <c r="AA45" s="313"/>
      <c r="AB45" s="313"/>
      <c r="AC45" s="313"/>
      <c r="AD45" s="314"/>
      <c r="AE45" s="416" t="s">
        <v>187</v>
      </c>
      <c r="AF45" s="417"/>
      <c r="AG45" s="417"/>
      <c r="AH45" s="417"/>
      <c r="AI45" s="418"/>
      <c r="AJ45" s="312" t="s">
        <v>71</v>
      </c>
      <c r="AK45" s="313"/>
      <c r="AL45" s="313"/>
      <c r="AM45" s="313"/>
      <c r="AN45" s="314"/>
      <c r="AO45" s="416" t="s">
        <v>187</v>
      </c>
      <c r="AP45" s="417"/>
      <c r="AQ45" s="417"/>
      <c r="AR45" s="417"/>
      <c r="AS45" s="418"/>
      <c r="AT45" s="312" t="s">
        <v>71</v>
      </c>
      <c r="AU45" s="313"/>
      <c r="AV45" s="313"/>
      <c r="AW45" s="313"/>
      <c r="AX45" s="314"/>
      <c r="AY45" s="416" t="s">
        <v>187</v>
      </c>
      <c r="AZ45" s="417"/>
      <c r="BA45" s="417"/>
      <c r="BB45" s="417"/>
      <c r="BC45" s="418"/>
      <c r="BD45" s="312" t="s">
        <v>71</v>
      </c>
      <c r="BE45" s="313"/>
      <c r="BF45" s="313"/>
      <c r="BG45" s="313"/>
      <c r="BH45" s="314"/>
      <c r="BI45" s="416" t="s">
        <v>187</v>
      </c>
      <c r="BJ45" s="417"/>
      <c r="BK45" s="417"/>
      <c r="BL45" s="417"/>
      <c r="BM45" s="418"/>
      <c r="BN45" s="312" t="s">
        <v>71</v>
      </c>
      <c r="BO45" s="313"/>
      <c r="BP45" s="313"/>
      <c r="BQ45" s="313"/>
      <c r="BR45" s="314"/>
      <c r="BS45" s="222" t="s">
        <v>13</v>
      </c>
      <c r="BT45" s="222"/>
      <c r="BU45" s="222"/>
      <c r="BV45" s="222"/>
      <c r="BW45" s="223"/>
      <c r="BX45" s="237">
        <v>4</v>
      </c>
      <c r="BY45" s="238"/>
      <c r="BZ45" s="238"/>
      <c r="CA45" s="238"/>
      <c r="CB45" s="239"/>
      <c r="CC45" s="213" t="s">
        <v>23</v>
      </c>
      <c r="CD45" s="214"/>
      <c r="CE45" s="214"/>
      <c r="CF45" s="214"/>
      <c r="CG45" s="215"/>
    </row>
    <row r="46" spans="1:85" ht="20.100000000000001" customHeight="1">
      <c r="A46" s="203"/>
      <c r="B46" s="204"/>
      <c r="C46" s="204"/>
      <c r="D46" s="204"/>
      <c r="E46" s="205"/>
      <c r="F46" s="283" t="s">
        <v>80</v>
      </c>
      <c r="G46" s="284"/>
      <c r="H46" s="284"/>
      <c r="I46" s="284"/>
      <c r="J46" s="285"/>
      <c r="K46" s="283" t="s">
        <v>133</v>
      </c>
      <c r="L46" s="284"/>
      <c r="M46" s="284"/>
      <c r="N46" s="284"/>
      <c r="O46" s="285"/>
      <c r="P46" s="283" t="s">
        <v>134</v>
      </c>
      <c r="Q46" s="284"/>
      <c r="R46" s="284"/>
      <c r="S46" s="284"/>
      <c r="T46" s="285"/>
      <c r="U46" s="283" t="s">
        <v>135</v>
      </c>
      <c r="V46" s="284"/>
      <c r="W46" s="284"/>
      <c r="X46" s="284"/>
      <c r="Y46" s="285"/>
      <c r="Z46" s="283" t="s">
        <v>136</v>
      </c>
      <c r="AA46" s="284"/>
      <c r="AB46" s="284"/>
      <c r="AC46" s="284"/>
      <c r="AD46" s="285"/>
      <c r="AE46" s="283" t="s">
        <v>137</v>
      </c>
      <c r="AF46" s="284"/>
      <c r="AG46" s="284"/>
      <c r="AH46" s="284"/>
      <c r="AI46" s="285"/>
      <c r="AJ46" s="283" t="s">
        <v>138</v>
      </c>
      <c r="AK46" s="284"/>
      <c r="AL46" s="284"/>
      <c r="AM46" s="284"/>
      <c r="AN46" s="285"/>
      <c r="AO46" s="283" t="s">
        <v>139</v>
      </c>
      <c r="AP46" s="284"/>
      <c r="AQ46" s="284"/>
      <c r="AR46" s="284"/>
      <c r="AS46" s="285"/>
      <c r="AT46" s="283" t="s">
        <v>140</v>
      </c>
      <c r="AU46" s="284"/>
      <c r="AV46" s="284"/>
      <c r="AW46" s="284"/>
      <c r="AX46" s="285"/>
      <c r="AY46" s="283" t="s">
        <v>141</v>
      </c>
      <c r="AZ46" s="284"/>
      <c r="BA46" s="284"/>
      <c r="BB46" s="284"/>
      <c r="BC46" s="285"/>
      <c r="BD46" s="283" t="s">
        <v>142</v>
      </c>
      <c r="BE46" s="284"/>
      <c r="BF46" s="284"/>
      <c r="BG46" s="284"/>
      <c r="BH46" s="285"/>
      <c r="BI46" s="283" t="s">
        <v>143</v>
      </c>
      <c r="BJ46" s="284"/>
      <c r="BK46" s="284"/>
      <c r="BL46" s="284"/>
      <c r="BM46" s="285"/>
      <c r="BN46" s="283" t="s">
        <v>144</v>
      </c>
      <c r="BO46" s="284"/>
      <c r="BP46" s="284"/>
      <c r="BQ46" s="284"/>
      <c r="BR46" s="285"/>
      <c r="BS46" s="224"/>
      <c r="BT46" s="224"/>
      <c r="BU46" s="224"/>
      <c r="BV46" s="224"/>
      <c r="BW46" s="225"/>
      <c r="BX46" s="240"/>
      <c r="BY46" s="204"/>
      <c r="BZ46" s="204"/>
      <c r="CA46" s="204"/>
      <c r="CB46" s="241"/>
      <c r="CC46" s="216"/>
      <c r="CD46" s="217"/>
      <c r="CE46" s="217"/>
      <c r="CF46" s="217"/>
      <c r="CG46" s="218"/>
    </row>
    <row r="47" spans="1:85" ht="20.100000000000001" customHeight="1">
      <c r="A47" s="203"/>
      <c r="B47" s="204"/>
      <c r="C47" s="204"/>
      <c r="D47" s="204"/>
      <c r="E47" s="205"/>
      <c r="F47" s="363">
        <f>SUM(2012-((360*G48)/365.25))</f>
        <v>-2048090.6694045174</v>
      </c>
      <c r="G47" s="364"/>
      <c r="H47" s="364"/>
      <c r="I47" s="364"/>
      <c r="J47" s="365"/>
      <c r="K47" s="363">
        <f t="shared" ref="K47:AP47" si="30">SUM(2012-((360*L48)/365.25))</f>
        <v>-1890390.4640657085</v>
      </c>
      <c r="L47" s="364"/>
      <c r="M47" s="364"/>
      <c r="N47" s="364"/>
      <c r="O47" s="365"/>
      <c r="P47" s="363">
        <f t="shared" ref="P47:AU47" si="31">SUM(2012-((360*Q48)/365.25))</f>
        <v>-1890390.4640657085</v>
      </c>
      <c r="Q47" s="364"/>
      <c r="R47" s="364"/>
      <c r="S47" s="364"/>
      <c r="T47" s="365"/>
      <c r="U47" s="363">
        <f t="shared" ref="U47:AZ47" si="32">SUM(2012-((360*V48)/365.25))</f>
        <v>-1574990.0533880903</v>
      </c>
      <c r="V47" s="364"/>
      <c r="W47" s="364"/>
      <c r="X47" s="364"/>
      <c r="Y47" s="365"/>
      <c r="Z47" s="363">
        <f t="shared" ref="Z47:BR47" si="33">SUM(2012-((360*AA48)/365.25))</f>
        <v>-1417289.8480492814</v>
      </c>
      <c r="AA47" s="364"/>
      <c r="AB47" s="364"/>
      <c r="AC47" s="364"/>
      <c r="AD47" s="365"/>
      <c r="AE47" s="363">
        <f t="shared" ref="AE47:BR47" si="34">SUM(2012-((360*AF48)/365.25))</f>
        <v>-1259589.6427104722</v>
      </c>
      <c r="AF47" s="364"/>
      <c r="AG47" s="364"/>
      <c r="AH47" s="364"/>
      <c r="AI47" s="365"/>
      <c r="AJ47" s="363">
        <f t="shared" ref="AJ47:BR47" si="35">SUM(2012-((360*AK48)/365.25))</f>
        <v>-1101889.4373716633</v>
      </c>
      <c r="AK47" s="364"/>
      <c r="AL47" s="364"/>
      <c r="AM47" s="364"/>
      <c r="AN47" s="365"/>
      <c r="AO47" s="363">
        <f t="shared" ref="AO47:BR47" si="36">SUM(2012-((360*AP48)/365.25))</f>
        <v>-944189.23203285423</v>
      </c>
      <c r="AP47" s="364"/>
      <c r="AQ47" s="364"/>
      <c r="AR47" s="364"/>
      <c r="AS47" s="365"/>
      <c r="AT47" s="363">
        <f t="shared" ref="AT47:BR47" si="37">SUM(2012-((360*AU48)/365.25))</f>
        <v>-786489.02669404517</v>
      </c>
      <c r="AU47" s="364"/>
      <c r="AV47" s="364"/>
      <c r="AW47" s="364"/>
      <c r="AX47" s="365"/>
      <c r="AY47" s="363">
        <f t="shared" ref="AY47:BR47" si="38">SUM(2012-((360*AZ48)/365.25))</f>
        <v>-628788.82135523611</v>
      </c>
      <c r="AZ47" s="364"/>
      <c r="BA47" s="364"/>
      <c r="BB47" s="364"/>
      <c r="BC47" s="365"/>
      <c r="BD47" s="363">
        <f t="shared" ref="BD47:BR47" si="39">SUM(2012-((360*BE48)/365.25))</f>
        <v>-471088.61601642711</v>
      </c>
      <c r="BE47" s="364"/>
      <c r="BF47" s="364"/>
      <c r="BG47" s="364"/>
      <c r="BH47" s="365"/>
      <c r="BI47" s="363">
        <f t="shared" ref="BI47:BR47" si="40">SUM(2012-((360*BJ48)/365.25))</f>
        <v>-313388.41067761806</v>
      </c>
      <c r="BJ47" s="364"/>
      <c r="BK47" s="364"/>
      <c r="BL47" s="364"/>
      <c r="BM47" s="365"/>
      <c r="BN47" s="363">
        <f t="shared" ref="BN47:BR47" si="41">SUM(2012-((360*BO48)/365.25))</f>
        <v>-155688.20533880903</v>
      </c>
      <c r="BO47" s="364"/>
      <c r="BP47" s="364"/>
      <c r="BQ47" s="364"/>
      <c r="BR47" s="365"/>
      <c r="BS47" s="224"/>
      <c r="BT47" s="224"/>
      <c r="BU47" s="224"/>
      <c r="BV47" s="224"/>
      <c r="BW47" s="225"/>
      <c r="BX47" s="240"/>
      <c r="BY47" s="204"/>
      <c r="BZ47" s="204"/>
      <c r="CA47" s="204"/>
      <c r="CB47" s="241"/>
      <c r="CC47" s="216"/>
      <c r="CD47" s="217"/>
      <c r="CE47" s="217"/>
      <c r="CF47" s="217"/>
      <c r="CG47" s="218"/>
    </row>
    <row r="48" spans="1:85" ht="20.100000000000001" customHeight="1">
      <c r="A48" s="203"/>
      <c r="B48" s="204"/>
      <c r="C48" s="204"/>
      <c r="D48" s="204"/>
      <c r="E48" s="205"/>
      <c r="F48" s="42" t="s">
        <v>75</v>
      </c>
      <c r="G48" s="308">
        <f>SUM(13*(20*20*20*20))</f>
        <v>2080000</v>
      </c>
      <c r="H48" s="308"/>
      <c r="I48" s="308"/>
      <c r="J48" s="309"/>
      <c r="K48" s="42" t="s">
        <v>75</v>
      </c>
      <c r="L48" s="308">
        <f>SUM(12*(20*20*20*20))</f>
        <v>1920000</v>
      </c>
      <c r="M48" s="308"/>
      <c r="N48" s="308"/>
      <c r="O48" s="309"/>
      <c r="P48" s="42" t="s">
        <v>75</v>
      </c>
      <c r="Q48" s="308">
        <f>SUM(12*(20*20*20*20))</f>
        <v>1920000</v>
      </c>
      <c r="R48" s="308"/>
      <c r="S48" s="308"/>
      <c r="T48" s="309"/>
      <c r="U48" s="42" t="s">
        <v>75</v>
      </c>
      <c r="V48" s="308">
        <f>SUM(10*(20*20*20*20))</f>
        <v>1600000</v>
      </c>
      <c r="W48" s="308"/>
      <c r="X48" s="308"/>
      <c r="Y48" s="309"/>
      <c r="Z48" s="42" t="s">
        <v>75</v>
      </c>
      <c r="AA48" s="308">
        <f>SUM(9*(20*20*20*20))</f>
        <v>1440000</v>
      </c>
      <c r="AB48" s="308"/>
      <c r="AC48" s="308"/>
      <c r="AD48" s="309"/>
      <c r="AE48" s="42" t="s">
        <v>75</v>
      </c>
      <c r="AF48" s="308">
        <f>SUM(8*(20*20*20*20))</f>
        <v>1280000</v>
      </c>
      <c r="AG48" s="308"/>
      <c r="AH48" s="308"/>
      <c r="AI48" s="309"/>
      <c r="AJ48" s="42" t="s">
        <v>75</v>
      </c>
      <c r="AK48" s="308">
        <f>SUM(7*(20*20*20*20))</f>
        <v>1120000</v>
      </c>
      <c r="AL48" s="308"/>
      <c r="AM48" s="308"/>
      <c r="AN48" s="309"/>
      <c r="AO48" s="42" t="s">
        <v>75</v>
      </c>
      <c r="AP48" s="306">
        <f>SUM(6*(20*20*20*20))</f>
        <v>960000</v>
      </c>
      <c r="AQ48" s="306"/>
      <c r="AR48" s="306"/>
      <c r="AS48" s="307"/>
      <c r="AT48" s="42" t="s">
        <v>75</v>
      </c>
      <c r="AU48" s="306">
        <f>SUM(5*(20*20*20*20))</f>
        <v>800000</v>
      </c>
      <c r="AV48" s="306"/>
      <c r="AW48" s="306"/>
      <c r="AX48" s="307"/>
      <c r="AY48" s="42" t="s">
        <v>75</v>
      </c>
      <c r="AZ48" s="306">
        <f>SUM(4*(20*20*20*20))</f>
        <v>640000</v>
      </c>
      <c r="BA48" s="306"/>
      <c r="BB48" s="306"/>
      <c r="BC48" s="307"/>
      <c r="BD48" s="42" t="s">
        <v>75</v>
      </c>
      <c r="BE48" s="306">
        <f>SUM(3*(20*20*20*20))</f>
        <v>480000</v>
      </c>
      <c r="BF48" s="306"/>
      <c r="BG48" s="306"/>
      <c r="BH48" s="307"/>
      <c r="BI48" s="42" t="s">
        <v>75</v>
      </c>
      <c r="BJ48" s="306">
        <f>SUM(2*(20*20*20*20))</f>
        <v>320000</v>
      </c>
      <c r="BK48" s="306"/>
      <c r="BL48" s="306"/>
      <c r="BM48" s="307"/>
      <c r="BN48" s="42" t="s">
        <v>75</v>
      </c>
      <c r="BO48" s="306">
        <f>SUM(1*(20*20*20*20))</f>
        <v>160000</v>
      </c>
      <c r="BP48" s="306"/>
      <c r="BQ48" s="306"/>
      <c r="BR48" s="307"/>
      <c r="BS48" s="224"/>
      <c r="BT48" s="224"/>
      <c r="BU48" s="224"/>
      <c r="BV48" s="224"/>
      <c r="BW48" s="225"/>
      <c r="BX48" s="240"/>
      <c r="BY48" s="204"/>
      <c r="BZ48" s="204"/>
      <c r="CA48" s="204"/>
      <c r="CB48" s="241"/>
      <c r="CC48" s="216"/>
      <c r="CD48" s="217"/>
      <c r="CE48" s="217"/>
      <c r="CF48" s="217"/>
      <c r="CG48" s="218"/>
    </row>
    <row r="49" spans="1:85" ht="20.100000000000001" customHeight="1" thickBot="1">
      <c r="A49" s="206"/>
      <c r="B49" s="207"/>
      <c r="C49" s="207"/>
      <c r="D49" s="207"/>
      <c r="E49" s="208"/>
      <c r="F49" s="393">
        <f>SUM(G48*360)/365.25</f>
        <v>2050102.6694045174</v>
      </c>
      <c r="G49" s="394"/>
      <c r="H49" s="394"/>
      <c r="I49" s="394"/>
      <c r="J49" s="395"/>
      <c r="K49" s="393">
        <f>SUM(L48*360)/365.25</f>
        <v>1892402.4640657085</v>
      </c>
      <c r="L49" s="394"/>
      <c r="M49" s="394"/>
      <c r="N49" s="394"/>
      <c r="O49" s="395"/>
      <c r="P49" s="393">
        <f>SUM(Q48*360)/365.25</f>
        <v>1892402.4640657085</v>
      </c>
      <c r="Q49" s="394"/>
      <c r="R49" s="394"/>
      <c r="S49" s="394"/>
      <c r="T49" s="395"/>
      <c r="U49" s="393">
        <f>SUM(V48*360)/365.25</f>
        <v>1577002.0533880903</v>
      </c>
      <c r="V49" s="394"/>
      <c r="W49" s="394"/>
      <c r="X49" s="394"/>
      <c r="Y49" s="395"/>
      <c r="Z49" s="393">
        <f>SUM(AA48*360)/365.25</f>
        <v>1419301.8480492814</v>
      </c>
      <c r="AA49" s="394"/>
      <c r="AB49" s="394"/>
      <c r="AC49" s="394"/>
      <c r="AD49" s="395"/>
      <c r="AE49" s="393">
        <f>SUM(AF48*360)/365.25</f>
        <v>1261601.6427104722</v>
      </c>
      <c r="AF49" s="394"/>
      <c r="AG49" s="394"/>
      <c r="AH49" s="394"/>
      <c r="AI49" s="395"/>
      <c r="AJ49" s="393">
        <f>SUM(AK48*360)/365.25</f>
        <v>1103901.4373716633</v>
      </c>
      <c r="AK49" s="394"/>
      <c r="AL49" s="394"/>
      <c r="AM49" s="394"/>
      <c r="AN49" s="395"/>
      <c r="AO49" s="393">
        <f>SUM(AP48*360)/365.25</f>
        <v>946201.23203285423</v>
      </c>
      <c r="AP49" s="394"/>
      <c r="AQ49" s="394"/>
      <c r="AR49" s="394"/>
      <c r="AS49" s="395"/>
      <c r="AT49" s="393">
        <f>SUM(AU48*360)/365.25</f>
        <v>788501.02669404517</v>
      </c>
      <c r="AU49" s="394"/>
      <c r="AV49" s="394"/>
      <c r="AW49" s="394"/>
      <c r="AX49" s="395"/>
      <c r="AY49" s="393">
        <f>SUM(AZ48*360)/365.25</f>
        <v>630800.82135523611</v>
      </c>
      <c r="AZ49" s="394"/>
      <c r="BA49" s="394"/>
      <c r="BB49" s="394"/>
      <c r="BC49" s="395"/>
      <c r="BD49" s="393">
        <f>SUM(BE48*360)/365.25</f>
        <v>473100.61601642711</v>
      </c>
      <c r="BE49" s="394"/>
      <c r="BF49" s="394"/>
      <c r="BG49" s="394"/>
      <c r="BH49" s="395"/>
      <c r="BI49" s="393">
        <f>SUM(BJ48*360)/365.25</f>
        <v>315400.41067761806</v>
      </c>
      <c r="BJ49" s="394"/>
      <c r="BK49" s="394"/>
      <c r="BL49" s="394"/>
      <c r="BM49" s="395"/>
      <c r="BN49" s="393">
        <f>SUM(BO48*360)/365.25</f>
        <v>157700.20533880903</v>
      </c>
      <c r="BO49" s="394"/>
      <c r="BP49" s="394"/>
      <c r="BQ49" s="394"/>
      <c r="BR49" s="395"/>
      <c r="BS49" s="226"/>
      <c r="BT49" s="226"/>
      <c r="BU49" s="226"/>
      <c r="BV49" s="226"/>
      <c r="BW49" s="227"/>
      <c r="BX49" s="242"/>
      <c r="BY49" s="243"/>
      <c r="BZ49" s="243"/>
      <c r="CA49" s="243"/>
      <c r="CB49" s="244"/>
      <c r="CC49" s="219"/>
      <c r="CD49" s="220"/>
      <c r="CE49" s="220"/>
      <c r="CF49" s="220"/>
      <c r="CG49" s="221"/>
    </row>
    <row r="50" spans="1:85" ht="20.100000000000001" customHeight="1" thickTop="1">
      <c r="A50" s="200">
        <v>3</v>
      </c>
      <c r="B50" s="201"/>
      <c r="C50" s="201"/>
      <c r="D50" s="201"/>
      <c r="E50" s="202"/>
      <c r="F50" s="303" t="s">
        <v>70</v>
      </c>
      <c r="G50" s="304"/>
      <c r="H50" s="304"/>
      <c r="I50" s="304"/>
      <c r="J50" s="305"/>
      <c r="K50" s="413" t="s">
        <v>188</v>
      </c>
      <c r="L50" s="414"/>
      <c r="M50" s="414"/>
      <c r="N50" s="414"/>
      <c r="O50" s="415"/>
      <c r="P50" s="303" t="s">
        <v>70</v>
      </c>
      <c r="Q50" s="304"/>
      <c r="R50" s="304"/>
      <c r="S50" s="304"/>
      <c r="T50" s="305"/>
      <c r="U50" s="413" t="s">
        <v>188</v>
      </c>
      <c r="V50" s="414"/>
      <c r="W50" s="414"/>
      <c r="X50" s="414"/>
      <c r="Y50" s="415"/>
      <c r="Z50" s="303" t="s">
        <v>70</v>
      </c>
      <c r="AA50" s="304"/>
      <c r="AB50" s="304"/>
      <c r="AC50" s="304"/>
      <c r="AD50" s="305"/>
      <c r="AE50" s="413" t="s">
        <v>188</v>
      </c>
      <c r="AF50" s="414"/>
      <c r="AG50" s="414"/>
      <c r="AH50" s="414"/>
      <c r="AI50" s="415"/>
      <c r="AJ50" s="303" t="s">
        <v>70</v>
      </c>
      <c r="AK50" s="304"/>
      <c r="AL50" s="304"/>
      <c r="AM50" s="304"/>
      <c r="AN50" s="305"/>
      <c r="AO50" s="413" t="s">
        <v>188</v>
      </c>
      <c r="AP50" s="414"/>
      <c r="AQ50" s="414"/>
      <c r="AR50" s="414"/>
      <c r="AS50" s="415"/>
      <c r="AT50" s="303" t="s">
        <v>70</v>
      </c>
      <c r="AU50" s="304"/>
      <c r="AV50" s="304"/>
      <c r="AW50" s="304"/>
      <c r="AX50" s="305"/>
      <c r="AY50" s="413" t="s">
        <v>188</v>
      </c>
      <c r="AZ50" s="414"/>
      <c r="BA50" s="414"/>
      <c r="BB50" s="414"/>
      <c r="BC50" s="415"/>
      <c r="BD50" s="303" t="s">
        <v>70</v>
      </c>
      <c r="BE50" s="304"/>
      <c r="BF50" s="304"/>
      <c r="BG50" s="304"/>
      <c r="BH50" s="305"/>
      <c r="BI50" s="413" t="s">
        <v>188</v>
      </c>
      <c r="BJ50" s="414"/>
      <c r="BK50" s="414"/>
      <c r="BL50" s="414"/>
      <c r="BM50" s="415"/>
      <c r="BN50" s="303" t="s">
        <v>70</v>
      </c>
      <c r="BO50" s="304"/>
      <c r="BP50" s="304"/>
      <c r="BQ50" s="304"/>
      <c r="BR50" s="305"/>
      <c r="BS50" s="222" t="s">
        <v>15</v>
      </c>
      <c r="BT50" s="222"/>
      <c r="BU50" s="222"/>
      <c r="BV50" s="222"/>
      <c r="BW50" s="223"/>
      <c r="BX50" s="237">
        <v>3</v>
      </c>
      <c r="BY50" s="238"/>
      <c r="BZ50" s="238"/>
      <c r="CA50" s="238"/>
      <c r="CB50" s="239"/>
      <c r="CC50" s="213" t="s">
        <v>22</v>
      </c>
      <c r="CD50" s="214"/>
      <c r="CE50" s="214"/>
      <c r="CF50" s="214"/>
      <c r="CG50" s="215"/>
    </row>
    <row r="51" spans="1:85" ht="20.100000000000001" customHeight="1">
      <c r="A51" s="203"/>
      <c r="B51" s="204"/>
      <c r="C51" s="204"/>
      <c r="D51" s="204"/>
      <c r="E51" s="205"/>
      <c r="F51" s="280" t="s">
        <v>79</v>
      </c>
      <c r="G51" s="281"/>
      <c r="H51" s="281"/>
      <c r="I51" s="281"/>
      <c r="J51" s="282"/>
      <c r="K51" s="280" t="s">
        <v>145</v>
      </c>
      <c r="L51" s="281"/>
      <c r="M51" s="281"/>
      <c r="N51" s="281"/>
      <c r="O51" s="282"/>
      <c r="P51" s="280" t="s">
        <v>146</v>
      </c>
      <c r="Q51" s="281"/>
      <c r="R51" s="281"/>
      <c r="S51" s="281"/>
      <c r="T51" s="282"/>
      <c r="U51" s="280" t="s">
        <v>147</v>
      </c>
      <c r="V51" s="281"/>
      <c r="W51" s="281"/>
      <c r="X51" s="281"/>
      <c r="Y51" s="282"/>
      <c r="Z51" s="280" t="s">
        <v>148</v>
      </c>
      <c r="AA51" s="281"/>
      <c r="AB51" s="281"/>
      <c r="AC51" s="281"/>
      <c r="AD51" s="282"/>
      <c r="AE51" s="280" t="s">
        <v>149</v>
      </c>
      <c r="AF51" s="281"/>
      <c r="AG51" s="281"/>
      <c r="AH51" s="281"/>
      <c r="AI51" s="282"/>
      <c r="AJ51" s="280" t="s">
        <v>150</v>
      </c>
      <c r="AK51" s="281"/>
      <c r="AL51" s="281"/>
      <c r="AM51" s="281"/>
      <c r="AN51" s="282"/>
      <c r="AO51" s="280" t="s">
        <v>151</v>
      </c>
      <c r="AP51" s="281"/>
      <c r="AQ51" s="281"/>
      <c r="AR51" s="281"/>
      <c r="AS51" s="282"/>
      <c r="AT51" s="280" t="s">
        <v>152</v>
      </c>
      <c r="AU51" s="281"/>
      <c r="AV51" s="281"/>
      <c r="AW51" s="281"/>
      <c r="AX51" s="282"/>
      <c r="AY51" s="280" t="s">
        <v>153</v>
      </c>
      <c r="AZ51" s="281"/>
      <c r="BA51" s="281"/>
      <c r="BB51" s="281"/>
      <c r="BC51" s="282"/>
      <c r="BD51" s="280" t="s">
        <v>154</v>
      </c>
      <c r="BE51" s="281"/>
      <c r="BF51" s="281"/>
      <c r="BG51" s="281"/>
      <c r="BH51" s="282"/>
      <c r="BI51" s="280" t="s">
        <v>155</v>
      </c>
      <c r="BJ51" s="281"/>
      <c r="BK51" s="281"/>
      <c r="BL51" s="281"/>
      <c r="BM51" s="282"/>
      <c r="BN51" s="280" t="s">
        <v>156</v>
      </c>
      <c r="BO51" s="281"/>
      <c r="BP51" s="281"/>
      <c r="BQ51" s="281"/>
      <c r="BR51" s="282"/>
      <c r="BS51" s="224"/>
      <c r="BT51" s="224"/>
      <c r="BU51" s="224"/>
      <c r="BV51" s="224"/>
      <c r="BW51" s="225"/>
      <c r="BX51" s="240"/>
      <c r="BY51" s="204"/>
      <c r="BZ51" s="204"/>
      <c r="CA51" s="204"/>
      <c r="CB51" s="241"/>
      <c r="CC51" s="216"/>
      <c r="CD51" s="217"/>
      <c r="CE51" s="217"/>
      <c r="CF51" s="217"/>
      <c r="CG51" s="218"/>
    </row>
    <row r="52" spans="1:85" ht="20.100000000000001" customHeight="1">
      <c r="A52" s="203"/>
      <c r="B52" s="204"/>
      <c r="C52" s="204"/>
      <c r="D52" s="204"/>
      <c r="E52" s="205"/>
      <c r="F52" s="363">
        <f>SUM(2012-((360*G53)/365.25))</f>
        <v>-41000041.38809035</v>
      </c>
      <c r="G52" s="364"/>
      <c r="H52" s="364"/>
      <c r="I52" s="364"/>
      <c r="J52" s="365"/>
      <c r="K52" s="363">
        <f t="shared" ref="K52:AP52" si="42">SUM(2012-((360*L53)/365.25))</f>
        <v>-37846037.281314172</v>
      </c>
      <c r="L52" s="364"/>
      <c r="M52" s="364"/>
      <c r="N52" s="364"/>
      <c r="O52" s="365"/>
      <c r="P52" s="363">
        <f t="shared" ref="P52:AU52" si="43">SUM(2012-((360*Q53)/365.25))</f>
        <v>-34692033.174537987</v>
      </c>
      <c r="Q52" s="364"/>
      <c r="R52" s="364"/>
      <c r="S52" s="364"/>
      <c r="T52" s="365"/>
      <c r="U52" s="363">
        <f t="shared" ref="U52:AZ52" si="44">SUM(2012-((360*V53)/365.25))</f>
        <v>-31538029.067761809</v>
      </c>
      <c r="V52" s="364"/>
      <c r="W52" s="364"/>
      <c r="X52" s="364"/>
      <c r="Y52" s="365"/>
      <c r="Z52" s="363">
        <f t="shared" ref="Z52:BR52" si="45">SUM(2012-((360*AA53)/365.25))</f>
        <v>-28384024.960985627</v>
      </c>
      <c r="AA52" s="364"/>
      <c r="AB52" s="364"/>
      <c r="AC52" s="364"/>
      <c r="AD52" s="365"/>
      <c r="AE52" s="363">
        <f t="shared" ref="AE52:BR52" si="46">SUM(2012-((360*AF53)/365.25))</f>
        <v>-25230020.854209445</v>
      </c>
      <c r="AF52" s="364"/>
      <c r="AG52" s="364"/>
      <c r="AH52" s="364"/>
      <c r="AI52" s="365"/>
      <c r="AJ52" s="363">
        <f t="shared" ref="AJ52:BR52" si="47">SUM(2012-((360*AK53)/365.25))</f>
        <v>-22076016.747433264</v>
      </c>
      <c r="AK52" s="364"/>
      <c r="AL52" s="364"/>
      <c r="AM52" s="364"/>
      <c r="AN52" s="365"/>
      <c r="AO52" s="363">
        <f t="shared" ref="AO52:BR52" si="48">SUM(2012-((360*AP53)/365.25))</f>
        <v>-18922012.640657086</v>
      </c>
      <c r="AP52" s="364"/>
      <c r="AQ52" s="364"/>
      <c r="AR52" s="364"/>
      <c r="AS52" s="365"/>
      <c r="AT52" s="363">
        <f t="shared" ref="AT52:BR52" si="49">SUM(2012-((360*AU53)/365.25))</f>
        <v>-15768008.533880904</v>
      </c>
      <c r="AU52" s="364"/>
      <c r="AV52" s="364"/>
      <c r="AW52" s="364"/>
      <c r="AX52" s="365"/>
      <c r="AY52" s="363">
        <f t="shared" ref="AY52:BR52" si="50">SUM(2012-((360*AZ53)/365.25))</f>
        <v>-12614004.427104723</v>
      </c>
      <c r="AZ52" s="364"/>
      <c r="BA52" s="364"/>
      <c r="BB52" s="364"/>
      <c r="BC52" s="365"/>
      <c r="BD52" s="363">
        <f t="shared" ref="BD52:BR52" si="51">SUM(2012-((360*BE53)/365.25))</f>
        <v>-9460000.320328543</v>
      </c>
      <c r="BE52" s="364"/>
      <c r="BF52" s="364"/>
      <c r="BG52" s="364"/>
      <c r="BH52" s="365"/>
      <c r="BI52" s="363">
        <f t="shared" ref="BI52:BR52" si="52">SUM(2012-((360*BJ53)/365.25))</f>
        <v>-6305996.2135523614</v>
      </c>
      <c r="BJ52" s="364"/>
      <c r="BK52" s="364"/>
      <c r="BL52" s="364"/>
      <c r="BM52" s="365"/>
      <c r="BN52" s="363">
        <f t="shared" ref="BN52:BR52" si="53">SUM(2012-((360*BO53)/365.25))</f>
        <v>-3151992.1067761807</v>
      </c>
      <c r="BO52" s="364"/>
      <c r="BP52" s="364"/>
      <c r="BQ52" s="364"/>
      <c r="BR52" s="365"/>
      <c r="BS52" s="224"/>
      <c r="BT52" s="224"/>
      <c r="BU52" s="224"/>
      <c r="BV52" s="224"/>
      <c r="BW52" s="225"/>
      <c r="BX52" s="240"/>
      <c r="BY52" s="204"/>
      <c r="BZ52" s="204"/>
      <c r="CA52" s="204"/>
      <c r="CB52" s="241"/>
      <c r="CC52" s="216"/>
      <c r="CD52" s="217"/>
      <c r="CE52" s="217"/>
      <c r="CF52" s="217"/>
      <c r="CG52" s="218"/>
    </row>
    <row r="53" spans="1:85" ht="20.100000000000001" customHeight="1">
      <c r="A53" s="203"/>
      <c r="B53" s="204"/>
      <c r="C53" s="204"/>
      <c r="D53" s="204"/>
      <c r="E53" s="205"/>
      <c r="F53" s="43" t="s">
        <v>75</v>
      </c>
      <c r="G53" s="310">
        <f>SUM(13*(20*20*20*20*20))</f>
        <v>41600000</v>
      </c>
      <c r="H53" s="310"/>
      <c r="I53" s="310"/>
      <c r="J53" s="311"/>
      <c r="K53" s="43" t="s">
        <v>75</v>
      </c>
      <c r="L53" s="310">
        <f>SUM(12*(20*20*20*20*20))</f>
        <v>38400000</v>
      </c>
      <c r="M53" s="310"/>
      <c r="N53" s="310"/>
      <c r="O53" s="311"/>
      <c r="P53" s="43" t="s">
        <v>75</v>
      </c>
      <c r="Q53" s="310">
        <f>SUM(11*(20*20*20*20*20))</f>
        <v>35200000</v>
      </c>
      <c r="R53" s="310"/>
      <c r="S53" s="310"/>
      <c r="T53" s="311"/>
      <c r="U53" s="43" t="s">
        <v>75</v>
      </c>
      <c r="V53" s="310">
        <f>SUM(10*(20*20*20*20*20))</f>
        <v>32000000</v>
      </c>
      <c r="W53" s="310"/>
      <c r="X53" s="310"/>
      <c r="Y53" s="311"/>
      <c r="Z53" s="43" t="s">
        <v>75</v>
      </c>
      <c r="AA53" s="310">
        <f>SUM(9*(20*20*20*20*20))</f>
        <v>28800000</v>
      </c>
      <c r="AB53" s="310"/>
      <c r="AC53" s="310"/>
      <c r="AD53" s="311"/>
      <c r="AE53" s="43" t="s">
        <v>75</v>
      </c>
      <c r="AF53" s="310">
        <f>SUM(8*(20*20*20*20*20))</f>
        <v>25600000</v>
      </c>
      <c r="AG53" s="310"/>
      <c r="AH53" s="310"/>
      <c r="AI53" s="311"/>
      <c r="AJ53" s="43" t="s">
        <v>75</v>
      </c>
      <c r="AK53" s="310">
        <f>SUM(7*(20*20*20*20*20))</f>
        <v>22400000</v>
      </c>
      <c r="AL53" s="310"/>
      <c r="AM53" s="310"/>
      <c r="AN53" s="311"/>
      <c r="AO53" s="43" t="s">
        <v>75</v>
      </c>
      <c r="AP53" s="310">
        <f>SUM(6*(20*20*20*20*20))</f>
        <v>19200000</v>
      </c>
      <c r="AQ53" s="310"/>
      <c r="AR53" s="310"/>
      <c r="AS53" s="311"/>
      <c r="AT53" s="43" t="s">
        <v>75</v>
      </c>
      <c r="AU53" s="310">
        <f>SUM(5*(20*20*20*20*20))</f>
        <v>16000000</v>
      </c>
      <c r="AV53" s="310"/>
      <c r="AW53" s="310"/>
      <c r="AX53" s="311"/>
      <c r="AY53" s="43" t="s">
        <v>75</v>
      </c>
      <c r="AZ53" s="310">
        <f>SUM(4*(20*20*20*20*20))</f>
        <v>12800000</v>
      </c>
      <c r="BA53" s="310"/>
      <c r="BB53" s="310"/>
      <c r="BC53" s="311"/>
      <c r="BD53" s="43" t="s">
        <v>75</v>
      </c>
      <c r="BE53" s="310">
        <f>SUM(3*(20*20*20*20*20))</f>
        <v>9600000</v>
      </c>
      <c r="BF53" s="310"/>
      <c r="BG53" s="310"/>
      <c r="BH53" s="311"/>
      <c r="BI53" s="43" t="s">
        <v>75</v>
      </c>
      <c r="BJ53" s="310">
        <f>SUM(2*(20*20*20*20*20))</f>
        <v>6400000</v>
      </c>
      <c r="BK53" s="310"/>
      <c r="BL53" s="310"/>
      <c r="BM53" s="311"/>
      <c r="BN53" s="43" t="s">
        <v>75</v>
      </c>
      <c r="BO53" s="310">
        <f>SUM(1*(20*20*20*20*20))</f>
        <v>3200000</v>
      </c>
      <c r="BP53" s="310"/>
      <c r="BQ53" s="310"/>
      <c r="BR53" s="311"/>
      <c r="BS53" s="224"/>
      <c r="BT53" s="224"/>
      <c r="BU53" s="224"/>
      <c r="BV53" s="224"/>
      <c r="BW53" s="225"/>
      <c r="BX53" s="240"/>
      <c r="BY53" s="204"/>
      <c r="BZ53" s="204"/>
      <c r="CA53" s="204"/>
      <c r="CB53" s="241"/>
      <c r="CC53" s="216"/>
      <c r="CD53" s="217"/>
      <c r="CE53" s="217"/>
      <c r="CF53" s="217"/>
      <c r="CG53" s="218"/>
    </row>
    <row r="54" spans="1:85" ht="20.100000000000001" customHeight="1" thickBot="1">
      <c r="A54" s="206"/>
      <c r="B54" s="207"/>
      <c r="C54" s="207"/>
      <c r="D54" s="207"/>
      <c r="E54" s="208"/>
      <c r="F54" s="387">
        <f>SUM(G53*360)/365.25</f>
        <v>41002053.38809035</v>
      </c>
      <c r="G54" s="388"/>
      <c r="H54" s="388"/>
      <c r="I54" s="388"/>
      <c r="J54" s="389"/>
      <c r="K54" s="387">
        <f>SUM(L53*360)/365.25</f>
        <v>37848049.281314172</v>
      </c>
      <c r="L54" s="388"/>
      <c r="M54" s="388"/>
      <c r="N54" s="388"/>
      <c r="O54" s="389"/>
      <c r="P54" s="387">
        <f>SUM(Q53*360)/365.25</f>
        <v>34694045.174537987</v>
      </c>
      <c r="Q54" s="388"/>
      <c r="R54" s="388"/>
      <c r="S54" s="388"/>
      <c r="T54" s="389"/>
      <c r="U54" s="387">
        <f>SUM(V53*360)/365.25</f>
        <v>31540041.067761809</v>
      </c>
      <c r="V54" s="388"/>
      <c r="W54" s="388"/>
      <c r="X54" s="388"/>
      <c r="Y54" s="389"/>
      <c r="Z54" s="387">
        <f>SUM(AA53*360)/365.25</f>
        <v>28386036.960985627</v>
      </c>
      <c r="AA54" s="388"/>
      <c r="AB54" s="388"/>
      <c r="AC54" s="388"/>
      <c r="AD54" s="389"/>
      <c r="AE54" s="387">
        <f>SUM(AF53*360)/365.25</f>
        <v>25232032.854209445</v>
      </c>
      <c r="AF54" s="388"/>
      <c r="AG54" s="388"/>
      <c r="AH54" s="388"/>
      <c r="AI54" s="389"/>
      <c r="AJ54" s="387">
        <f>SUM(AK53*360)/365.25</f>
        <v>22078028.747433264</v>
      </c>
      <c r="AK54" s="388"/>
      <c r="AL54" s="388"/>
      <c r="AM54" s="388"/>
      <c r="AN54" s="389"/>
      <c r="AO54" s="387">
        <f>SUM(AP53*360)/365.25</f>
        <v>18924024.640657086</v>
      </c>
      <c r="AP54" s="388"/>
      <c r="AQ54" s="388"/>
      <c r="AR54" s="388"/>
      <c r="AS54" s="389"/>
      <c r="AT54" s="390">
        <f>SUM(AU53*360)/365.25</f>
        <v>15770020.533880904</v>
      </c>
      <c r="AU54" s="391"/>
      <c r="AV54" s="391"/>
      <c r="AW54" s="391"/>
      <c r="AX54" s="392"/>
      <c r="AY54" s="387">
        <f>SUM(AZ53*360)/365.25</f>
        <v>12616016.427104723</v>
      </c>
      <c r="AZ54" s="388"/>
      <c r="BA54" s="388"/>
      <c r="BB54" s="388"/>
      <c r="BC54" s="389"/>
      <c r="BD54" s="387">
        <f>SUM(BE53*360)/365.25</f>
        <v>9462012.320328543</v>
      </c>
      <c r="BE54" s="388"/>
      <c r="BF54" s="388"/>
      <c r="BG54" s="388"/>
      <c r="BH54" s="389"/>
      <c r="BI54" s="387">
        <f>SUM(BJ53*360)/365.25</f>
        <v>6308008.2135523614</v>
      </c>
      <c r="BJ54" s="388"/>
      <c r="BK54" s="388"/>
      <c r="BL54" s="388"/>
      <c r="BM54" s="389"/>
      <c r="BN54" s="387">
        <f>SUM(BO53*360)/365.25</f>
        <v>3154004.1067761807</v>
      </c>
      <c r="BO54" s="388"/>
      <c r="BP54" s="388"/>
      <c r="BQ54" s="388"/>
      <c r="BR54" s="389"/>
      <c r="BS54" s="226"/>
      <c r="BT54" s="226"/>
      <c r="BU54" s="226"/>
      <c r="BV54" s="226"/>
      <c r="BW54" s="227"/>
      <c r="BX54" s="242"/>
      <c r="BY54" s="243"/>
      <c r="BZ54" s="243"/>
      <c r="CA54" s="243"/>
      <c r="CB54" s="244"/>
      <c r="CC54" s="219"/>
      <c r="CD54" s="220"/>
      <c r="CE54" s="220"/>
      <c r="CF54" s="220"/>
      <c r="CG54" s="221"/>
    </row>
    <row r="55" spans="1:85" ht="20.100000000000001" customHeight="1" thickTop="1">
      <c r="A55" s="200">
        <v>2</v>
      </c>
      <c r="B55" s="201"/>
      <c r="C55" s="201"/>
      <c r="D55" s="201"/>
      <c r="E55" s="202"/>
      <c r="F55" s="319" t="s">
        <v>69</v>
      </c>
      <c r="G55" s="320"/>
      <c r="H55" s="320"/>
      <c r="I55" s="320"/>
      <c r="J55" s="321"/>
      <c r="K55" s="413" t="s">
        <v>189</v>
      </c>
      <c r="L55" s="414"/>
      <c r="M55" s="414"/>
      <c r="N55" s="414"/>
      <c r="O55" s="415"/>
      <c r="P55" s="319" t="s">
        <v>69</v>
      </c>
      <c r="Q55" s="320"/>
      <c r="R55" s="320"/>
      <c r="S55" s="320"/>
      <c r="T55" s="321"/>
      <c r="U55" s="413" t="s">
        <v>189</v>
      </c>
      <c r="V55" s="414"/>
      <c r="W55" s="414"/>
      <c r="X55" s="414"/>
      <c r="Y55" s="415"/>
      <c r="Z55" s="319" t="s">
        <v>69</v>
      </c>
      <c r="AA55" s="320"/>
      <c r="AB55" s="320"/>
      <c r="AC55" s="320"/>
      <c r="AD55" s="321"/>
      <c r="AE55" s="413" t="s">
        <v>189</v>
      </c>
      <c r="AF55" s="414"/>
      <c r="AG55" s="414"/>
      <c r="AH55" s="414"/>
      <c r="AI55" s="415"/>
      <c r="AJ55" s="319" t="s">
        <v>69</v>
      </c>
      <c r="AK55" s="320"/>
      <c r="AL55" s="320"/>
      <c r="AM55" s="320"/>
      <c r="AN55" s="321"/>
      <c r="AO55" s="413" t="s">
        <v>189</v>
      </c>
      <c r="AP55" s="414"/>
      <c r="AQ55" s="414"/>
      <c r="AR55" s="414"/>
      <c r="AS55" s="415"/>
      <c r="AT55" s="319" t="s">
        <v>69</v>
      </c>
      <c r="AU55" s="320"/>
      <c r="AV55" s="320"/>
      <c r="AW55" s="320"/>
      <c r="AX55" s="321"/>
      <c r="AY55" s="413" t="s">
        <v>189</v>
      </c>
      <c r="AZ55" s="414"/>
      <c r="BA55" s="414"/>
      <c r="BB55" s="414"/>
      <c r="BC55" s="415"/>
      <c r="BD55" s="319" t="s">
        <v>69</v>
      </c>
      <c r="BE55" s="320"/>
      <c r="BF55" s="320"/>
      <c r="BG55" s="320"/>
      <c r="BH55" s="321"/>
      <c r="BI55" s="413" t="s">
        <v>189</v>
      </c>
      <c r="BJ55" s="414"/>
      <c r="BK55" s="414"/>
      <c r="BL55" s="414"/>
      <c r="BM55" s="415"/>
      <c r="BN55" s="319" t="s">
        <v>69</v>
      </c>
      <c r="BO55" s="320"/>
      <c r="BP55" s="320"/>
      <c r="BQ55" s="320"/>
      <c r="BR55" s="321"/>
      <c r="BS55" s="222" t="s">
        <v>17</v>
      </c>
      <c r="BT55" s="222"/>
      <c r="BU55" s="222"/>
      <c r="BV55" s="222"/>
      <c r="BW55" s="223"/>
      <c r="BX55" s="237">
        <v>2</v>
      </c>
      <c r="BY55" s="238"/>
      <c r="BZ55" s="238"/>
      <c r="CA55" s="238"/>
      <c r="CB55" s="239"/>
      <c r="CC55" s="213" t="s">
        <v>21</v>
      </c>
      <c r="CD55" s="214"/>
      <c r="CE55" s="214"/>
      <c r="CF55" s="214"/>
      <c r="CG55" s="215"/>
    </row>
    <row r="56" spans="1:85" ht="20.100000000000001" customHeight="1">
      <c r="A56" s="203"/>
      <c r="B56" s="204"/>
      <c r="C56" s="204"/>
      <c r="D56" s="204"/>
      <c r="E56" s="205"/>
      <c r="F56" s="277" t="s">
        <v>78</v>
      </c>
      <c r="G56" s="278"/>
      <c r="H56" s="278"/>
      <c r="I56" s="278"/>
      <c r="J56" s="279"/>
      <c r="K56" s="277" t="s">
        <v>157</v>
      </c>
      <c r="L56" s="278"/>
      <c r="M56" s="278"/>
      <c r="N56" s="278"/>
      <c r="O56" s="279"/>
      <c r="P56" s="277" t="s">
        <v>158</v>
      </c>
      <c r="Q56" s="278"/>
      <c r="R56" s="278"/>
      <c r="S56" s="278"/>
      <c r="T56" s="279"/>
      <c r="U56" s="277" t="s">
        <v>159</v>
      </c>
      <c r="V56" s="278"/>
      <c r="W56" s="278"/>
      <c r="X56" s="278"/>
      <c r="Y56" s="279"/>
      <c r="Z56" s="277" t="s">
        <v>160</v>
      </c>
      <c r="AA56" s="278"/>
      <c r="AB56" s="278"/>
      <c r="AC56" s="278"/>
      <c r="AD56" s="279"/>
      <c r="AE56" s="277" t="s">
        <v>161</v>
      </c>
      <c r="AF56" s="278"/>
      <c r="AG56" s="278"/>
      <c r="AH56" s="278"/>
      <c r="AI56" s="279"/>
      <c r="AJ56" s="277" t="s">
        <v>162</v>
      </c>
      <c r="AK56" s="278"/>
      <c r="AL56" s="278"/>
      <c r="AM56" s="278"/>
      <c r="AN56" s="279"/>
      <c r="AO56" s="277" t="s">
        <v>163</v>
      </c>
      <c r="AP56" s="278"/>
      <c r="AQ56" s="278"/>
      <c r="AR56" s="278"/>
      <c r="AS56" s="279"/>
      <c r="AT56" s="277" t="s">
        <v>164</v>
      </c>
      <c r="AU56" s="278"/>
      <c r="AV56" s="278"/>
      <c r="AW56" s="278"/>
      <c r="AX56" s="279"/>
      <c r="AY56" s="277" t="s">
        <v>165</v>
      </c>
      <c r="AZ56" s="278"/>
      <c r="BA56" s="278"/>
      <c r="BB56" s="278"/>
      <c r="BC56" s="279"/>
      <c r="BD56" s="277" t="s">
        <v>166</v>
      </c>
      <c r="BE56" s="278"/>
      <c r="BF56" s="278"/>
      <c r="BG56" s="278"/>
      <c r="BH56" s="279"/>
      <c r="BI56" s="277" t="s">
        <v>167</v>
      </c>
      <c r="BJ56" s="278"/>
      <c r="BK56" s="278"/>
      <c r="BL56" s="278"/>
      <c r="BM56" s="279"/>
      <c r="BN56" s="277" t="s">
        <v>168</v>
      </c>
      <c r="BO56" s="278"/>
      <c r="BP56" s="278"/>
      <c r="BQ56" s="278"/>
      <c r="BR56" s="279"/>
      <c r="BS56" s="224"/>
      <c r="BT56" s="224"/>
      <c r="BU56" s="224"/>
      <c r="BV56" s="224"/>
      <c r="BW56" s="225"/>
      <c r="BX56" s="240"/>
      <c r="BY56" s="204"/>
      <c r="BZ56" s="204"/>
      <c r="CA56" s="204"/>
      <c r="CB56" s="241"/>
      <c r="CC56" s="216"/>
      <c r="CD56" s="217"/>
      <c r="CE56" s="217"/>
      <c r="CF56" s="217"/>
      <c r="CG56" s="218"/>
    </row>
    <row r="57" spans="1:85" ht="20.100000000000001" customHeight="1">
      <c r="A57" s="203"/>
      <c r="B57" s="204"/>
      <c r="C57" s="204"/>
      <c r="D57" s="204"/>
      <c r="E57" s="205"/>
      <c r="F57" s="372">
        <f>SUM(2012-((360*G58)/365.25))</f>
        <v>-820039055.76180696</v>
      </c>
      <c r="G57" s="373"/>
      <c r="H57" s="373"/>
      <c r="I57" s="373"/>
      <c r="J57" s="374"/>
      <c r="K57" s="372">
        <f t="shared" ref="K57:AP57" si="54">SUM(2012-((360*L58)/365.25))</f>
        <v>-756958973.62628341</v>
      </c>
      <c r="L57" s="373"/>
      <c r="M57" s="373"/>
      <c r="N57" s="373"/>
      <c r="O57" s="374"/>
      <c r="P57" s="372">
        <f t="shared" ref="P57:AU57" si="55">SUM(2012-((360*Q58)/365.25))</f>
        <v>-693878891.49075973</v>
      </c>
      <c r="Q57" s="373"/>
      <c r="R57" s="373"/>
      <c r="S57" s="373"/>
      <c r="T57" s="374"/>
      <c r="U57" s="372">
        <f t="shared" ref="U57:AZ57" si="56">SUM(2012-((360*V58)/365.25))</f>
        <v>-630798809.35523617</v>
      </c>
      <c r="V57" s="373"/>
      <c r="W57" s="373"/>
      <c r="X57" s="373"/>
      <c r="Y57" s="374"/>
      <c r="Z57" s="372">
        <f t="shared" ref="Z57:BR57" si="57">SUM(2012-((360*AA58)/365.25))</f>
        <v>-567718727.2197125</v>
      </c>
      <c r="AA57" s="373"/>
      <c r="AB57" s="373"/>
      <c r="AC57" s="373"/>
      <c r="AD57" s="374"/>
      <c r="AE57" s="372">
        <f t="shared" ref="AE57:BR57" si="58">SUM(2012-((360*AF58)/365.25))</f>
        <v>-504638645.08418894</v>
      </c>
      <c r="AF57" s="373"/>
      <c r="AG57" s="373"/>
      <c r="AH57" s="373"/>
      <c r="AI57" s="374"/>
      <c r="AJ57" s="372">
        <f t="shared" ref="AJ57:BR57" si="59">SUM(2012-((360*AK58)/365.25))</f>
        <v>-441558562.94866532</v>
      </c>
      <c r="AK57" s="373"/>
      <c r="AL57" s="373"/>
      <c r="AM57" s="373"/>
      <c r="AN57" s="374"/>
      <c r="AO57" s="372">
        <f t="shared" ref="AO57:BR57" si="60">SUM(2012-((360*AP58)/365.25))</f>
        <v>-378478480.8131417</v>
      </c>
      <c r="AP57" s="373"/>
      <c r="AQ57" s="373"/>
      <c r="AR57" s="373"/>
      <c r="AS57" s="374"/>
      <c r="AT57" s="372">
        <f t="shared" ref="AT57:BR57" si="61">SUM(2012-((360*AU58)/365.25))</f>
        <v>-315398398.67761809</v>
      </c>
      <c r="AU57" s="373"/>
      <c r="AV57" s="373"/>
      <c r="AW57" s="373"/>
      <c r="AX57" s="374"/>
      <c r="AY57" s="372">
        <f t="shared" ref="AY57:BR57" si="62">SUM(2012-((360*AZ58)/365.25))</f>
        <v>-252318316.54209447</v>
      </c>
      <c r="AZ57" s="373"/>
      <c r="BA57" s="373"/>
      <c r="BB57" s="373"/>
      <c r="BC57" s="374"/>
      <c r="BD57" s="372">
        <f t="shared" ref="BD57:BR57" si="63">SUM(2012-((360*BE58)/365.25))</f>
        <v>-189238234.40657085</v>
      </c>
      <c r="BE57" s="373"/>
      <c r="BF57" s="373"/>
      <c r="BG57" s="373"/>
      <c r="BH57" s="374"/>
      <c r="BI57" s="372">
        <f t="shared" ref="BI57:BR57" si="64">SUM(2012-((360*BJ58)/365.25))</f>
        <v>-126158152.27104723</v>
      </c>
      <c r="BJ57" s="373"/>
      <c r="BK57" s="373"/>
      <c r="BL57" s="373"/>
      <c r="BM57" s="374"/>
      <c r="BN57" s="372">
        <f t="shared" ref="BN57:BR57" si="65">SUM(2012-((360*BO58)/365.25))</f>
        <v>-63078070.135523617</v>
      </c>
      <c r="BO57" s="373"/>
      <c r="BP57" s="373"/>
      <c r="BQ57" s="373"/>
      <c r="BR57" s="374"/>
      <c r="BS57" s="224"/>
      <c r="BT57" s="224"/>
      <c r="BU57" s="224"/>
      <c r="BV57" s="224"/>
      <c r="BW57" s="225"/>
      <c r="BX57" s="240"/>
      <c r="BY57" s="204"/>
      <c r="BZ57" s="204"/>
      <c r="CA57" s="204"/>
      <c r="CB57" s="241"/>
      <c r="CC57" s="216"/>
      <c r="CD57" s="217"/>
      <c r="CE57" s="217"/>
      <c r="CF57" s="217"/>
      <c r="CG57" s="218"/>
    </row>
    <row r="58" spans="1:85" ht="20.100000000000001" customHeight="1">
      <c r="A58" s="203"/>
      <c r="B58" s="204"/>
      <c r="C58" s="204"/>
      <c r="D58" s="204"/>
      <c r="E58" s="205"/>
      <c r="F58" s="44" t="s">
        <v>75</v>
      </c>
      <c r="G58" s="315">
        <f>SUM(13*(20*20*20*20*20*20))</f>
        <v>832000000</v>
      </c>
      <c r="H58" s="315"/>
      <c r="I58" s="315"/>
      <c r="J58" s="316"/>
      <c r="K58" s="44" t="s">
        <v>75</v>
      </c>
      <c r="L58" s="315">
        <f>SUM(12*(20*20*20*20*20*20))</f>
        <v>768000000</v>
      </c>
      <c r="M58" s="315"/>
      <c r="N58" s="315"/>
      <c r="O58" s="316"/>
      <c r="P58" s="44" t="s">
        <v>75</v>
      </c>
      <c r="Q58" s="315">
        <f>SUM(11*(20*20*20*20*20*20))</f>
        <v>704000000</v>
      </c>
      <c r="R58" s="315"/>
      <c r="S58" s="315"/>
      <c r="T58" s="316"/>
      <c r="U58" s="44" t="s">
        <v>75</v>
      </c>
      <c r="V58" s="315">
        <f>SUM(10*(20*20*20*20*20*20))</f>
        <v>640000000</v>
      </c>
      <c r="W58" s="315"/>
      <c r="X58" s="315"/>
      <c r="Y58" s="316"/>
      <c r="Z58" s="44" t="s">
        <v>75</v>
      </c>
      <c r="AA58" s="315">
        <f>SUM(9*(20*20*20*20*20*20))</f>
        <v>576000000</v>
      </c>
      <c r="AB58" s="315"/>
      <c r="AC58" s="315"/>
      <c r="AD58" s="316"/>
      <c r="AE58" s="44" t="s">
        <v>75</v>
      </c>
      <c r="AF58" s="315">
        <f>SUM(8*(20*20*20*20*20*20))</f>
        <v>512000000</v>
      </c>
      <c r="AG58" s="315"/>
      <c r="AH58" s="315"/>
      <c r="AI58" s="316"/>
      <c r="AJ58" s="44" t="s">
        <v>75</v>
      </c>
      <c r="AK58" s="315">
        <f>SUM(7*(20*20*20*20*20*20))</f>
        <v>448000000</v>
      </c>
      <c r="AL58" s="315"/>
      <c r="AM58" s="315"/>
      <c r="AN58" s="316"/>
      <c r="AO58" s="44" t="s">
        <v>75</v>
      </c>
      <c r="AP58" s="315">
        <f>SUM(6*(20*20*20*20*20*20))</f>
        <v>384000000</v>
      </c>
      <c r="AQ58" s="315"/>
      <c r="AR58" s="315"/>
      <c r="AS58" s="316"/>
      <c r="AT58" s="44" t="s">
        <v>75</v>
      </c>
      <c r="AU58" s="315">
        <f>SUM(5*(20*20*20*20*20*20))</f>
        <v>320000000</v>
      </c>
      <c r="AV58" s="315"/>
      <c r="AW58" s="315"/>
      <c r="AX58" s="316"/>
      <c r="AY58" s="44" t="s">
        <v>75</v>
      </c>
      <c r="AZ58" s="315">
        <f>SUM(4*(20*20*20*20*20*20))</f>
        <v>256000000</v>
      </c>
      <c r="BA58" s="315"/>
      <c r="BB58" s="315"/>
      <c r="BC58" s="316"/>
      <c r="BD58" s="44" t="s">
        <v>75</v>
      </c>
      <c r="BE58" s="315">
        <f>SUM(3*(20*20*20*20*20*20))</f>
        <v>192000000</v>
      </c>
      <c r="BF58" s="315"/>
      <c r="BG58" s="315"/>
      <c r="BH58" s="316"/>
      <c r="BI58" s="44" t="s">
        <v>75</v>
      </c>
      <c r="BJ58" s="315">
        <f>SUM(2*(20*20*20*20*20*20))</f>
        <v>128000000</v>
      </c>
      <c r="BK58" s="315"/>
      <c r="BL58" s="315"/>
      <c r="BM58" s="316"/>
      <c r="BN58" s="44" t="s">
        <v>75</v>
      </c>
      <c r="BO58" s="315">
        <f>SUM(1*(20*20*20*20*20*20))</f>
        <v>64000000</v>
      </c>
      <c r="BP58" s="315"/>
      <c r="BQ58" s="315"/>
      <c r="BR58" s="316"/>
      <c r="BS58" s="224"/>
      <c r="BT58" s="224"/>
      <c r="BU58" s="224"/>
      <c r="BV58" s="224"/>
      <c r="BW58" s="225"/>
      <c r="BX58" s="240"/>
      <c r="BY58" s="204"/>
      <c r="BZ58" s="204"/>
      <c r="CA58" s="204"/>
      <c r="CB58" s="241"/>
      <c r="CC58" s="216"/>
      <c r="CD58" s="217"/>
      <c r="CE58" s="217"/>
      <c r="CF58" s="217"/>
      <c r="CG58" s="218"/>
    </row>
    <row r="59" spans="1:85" ht="20.100000000000001" customHeight="1" thickBot="1">
      <c r="A59" s="206"/>
      <c r="B59" s="207"/>
      <c r="C59" s="207"/>
      <c r="D59" s="207"/>
      <c r="E59" s="208"/>
      <c r="F59" s="384">
        <f>SUM(G58*360)/365.25</f>
        <v>820041067.76180696</v>
      </c>
      <c r="G59" s="385"/>
      <c r="H59" s="385"/>
      <c r="I59" s="385"/>
      <c r="J59" s="386"/>
      <c r="K59" s="384">
        <f>SUM(L58*360)/365.25</f>
        <v>756960985.62628341</v>
      </c>
      <c r="L59" s="385"/>
      <c r="M59" s="385"/>
      <c r="N59" s="385"/>
      <c r="O59" s="386"/>
      <c r="P59" s="384">
        <f>SUM(Q58*360)/365.25</f>
        <v>693880903.49075973</v>
      </c>
      <c r="Q59" s="385"/>
      <c r="R59" s="385"/>
      <c r="S59" s="385"/>
      <c r="T59" s="386"/>
      <c r="U59" s="384">
        <f>SUM(V58*360)/365.25</f>
        <v>630800821.35523617</v>
      </c>
      <c r="V59" s="385"/>
      <c r="W59" s="385"/>
      <c r="X59" s="385"/>
      <c r="Y59" s="386"/>
      <c r="Z59" s="384">
        <f>SUM(AA58*360)/365.25</f>
        <v>567720739.2197125</v>
      </c>
      <c r="AA59" s="385"/>
      <c r="AB59" s="385"/>
      <c r="AC59" s="385"/>
      <c r="AD59" s="386"/>
      <c r="AE59" s="384">
        <f>SUM(AF58*360)/365.25</f>
        <v>504640657.08418894</v>
      </c>
      <c r="AF59" s="385"/>
      <c r="AG59" s="385"/>
      <c r="AH59" s="385"/>
      <c r="AI59" s="386"/>
      <c r="AJ59" s="384">
        <f>SUM(AK58*360)/365.25</f>
        <v>441560574.94866532</v>
      </c>
      <c r="AK59" s="385"/>
      <c r="AL59" s="385"/>
      <c r="AM59" s="385"/>
      <c r="AN59" s="386"/>
      <c r="AO59" s="384">
        <f>SUM(AP58*360)/365.25</f>
        <v>378480492.8131417</v>
      </c>
      <c r="AP59" s="385"/>
      <c r="AQ59" s="385"/>
      <c r="AR59" s="385"/>
      <c r="AS59" s="386"/>
      <c r="AT59" s="384">
        <f>SUM(AU58*360)/365.25</f>
        <v>315400410.67761809</v>
      </c>
      <c r="AU59" s="385"/>
      <c r="AV59" s="385"/>
      <c r="AW59" s="385"/>
      <c r="AX59" s="386"/>
      <c r="AY59" s="384">
        <f>SUM(AZ58*360)/365.25</f>
        <v>252320328.54209447</v>
      </c>
      <c r="AZ59" s="385"/>
      <c r="BA59" s="385"/>
      <c r="BB59" s="385"/>
      <c r="BC59" s="386"/>
      <c r="BD59" s="384">
        <f>SUM(BE58*360)/365.25</f>
        <v>189240246.40657085</v>
      </c>
      <c r="BE59" s="385"/>
      <c r="BF59" s="385"/>
      <c r="BG59" s="385"/>
      <c r="BH59" s="386"/>
      <c r="BI59" s="384">
        <f>SUM(BJ58*360)/365.25</f>
        <v>126160164.27104723</v>
      </c>
      <c r="BJ59" s="385"/>
      <c r="BK59" s="385"/>
      <c r="BL59" s="385"/>
      <c r="BM59" s="386"/>
      <c r="BN59" s="384">
        <f>SUM(BO58*360)/365.25</f>
        <v>63080082.135523617</v>
      </c>
      <c r="BO59" s="385"/>
      <c r="BP59" s="385"/>
      <c r="BQ59" s="385"/>
      <c r="BR59" s="386"/>
      <c r="BS59" s="226"/>
      <c r="BT59" s="226"/>
      <c r="BU59" s="226"/>
      <c r="BV59" s="226"/>
      <c r="BW59" s="227"/>
      <c r="BX59" s="242"/>
      <c r="BY59" s="243"/>
      <c r="BZ59" s="243"/>
      <c r="CA59" s="243"/>
      <c r="CB59" s="244"/>
      <c r="CC59" s="219"/>
      <c r="CD59" s="220"/>
      <c r="CE59" s="220"/>
      <c r="CF59" s="220"/>
      <c r="CG59" s="221"/>
    </row>
    <row r="60" spans="1:85" ht="20.100000000000001" customHeight="1" thickTop="1">
      <c r="A60" s="200">
        <v>1</v>
      </c>
      <c r="B60" s="201"/>
      <c r="C60" s="201"/>
      <c r="D60" s="201"/>
      <c r="E60" s="202"/>
      <c r="F60" s="38" t="s">
        <v>67</v>
      </c>
      <c r="G60" s="20"/>
      <c r="H60" s="20"/>
      <c r="I60" s="20"/>
      <c r="J60" s="31"/>
      <c r="K60" s="411" t="s">
        <v>32</v>
      </c>
      <c r="L60" s="154"/>
      <c r="M60" s="154"/>
      <c r="N60" s="154"/>
      <c r="O60" s="412"/>
      <c r="P60" s="38" t="s">
        <v>67</v>
      </c>
      <c r="Q60" s="20"/>
      <c r="R60" s="20"/>
      <c r="S60" s="20"/>
      <c r="T60" s="31"/>
      <c r="U60" s="411" t="s">
        <v>32</v>
      </c>
      <c r="V60" s="154"/>
      <c r="W60" s="154"/>
      <c r="X60" s="154"/>
      <c r="Y60" s="412"/>
      <c r="Z60" s="38" t="s">
        <v>67</v>
      </c>
      <c r="AA60" s="20"/>
      <c r="AB60" s="18"/>
      <c r="AC60" s="18"/>
      <c r="AD60" s="33"/>
      <c r="AE60" s="411" t="s">
        <v>32</v>
      </c>
      <c r="AF60" s="154"/>
      <c r="AG60" s="154"/>
      <c r="AH60" s="154"/>
      <c r="AI60" s="412"/>
      <c r="AJ60" s="38" t="s">
        <v>67</v>
      </c>
      <c r="AK60" s="18"/>
      <c r="AL60" s="18"/>
      <c r="AM60" s="5"/>
      <c r="AN60" s="6"/>
      <c r="AO60" s="411" t="s">
        <v>32</v>
      </c>
      <c r="AP60" s="154"/>
      <c r="AQ60" s="154"/>
      <c r="AR60" s="154"/>
      <c r="AS60" s="412"/>
      <c r="AT60" s="38" t="s">
        <v>67</v>
      </c>
      <c r="AU60" s="24"/>
      <c r="AV60" s="24"/>
      <c r="AW60" s="24"/>
      <c r="AX60" s="35"/>
      <c r="AY60" s="411" t="s">
        <v>32</v>
      </c>
      <c r="AZ60" s="154"/>
      <c r="BA60" s="154"/>
      <c r="BB60" s="154"/>
      <c r="BC60" s="412"/>
      <c r="BD60" s="38" t="s">
        <v>67</v>
      </c>
      <c r="BE60" s="5"/>
      <c r="BF60" s="5"/>
      <c r="BG60" s="5"/>
      <c r="BH60" s="6"/>
      <c r="BI60" s="411" t="s">
        <v>32</v>
      </c>
      <c r="BJ60" s="154"/>
      <c r="BK60" s="154"/>
      <c r="BL60" s="154"/>
      <c r="BM60" s="412"/>
      <c r="BN60" s="38" t="s">
        <v>67</v>
      </c>
      <c r="BO60" s="27"/>
      <c r="BP60" s="27"/>
      <c r="BQ60" s="27"/>
      <c r="BR60" s="28"/>
      <c r="BS60" s="222" t="s">
        <v>19</v>
      </c>
      <c r="BT60" s="222"/>
      <c r="BU60" s="222"/>
      <c r="BV60" s="222"/>
      <c r="BW60" s="223"/>
      <c r="BX60" s="228">
        <v>1</v>
      </c>
      <c r="BY60" s="229"/>
      <c r="BZ60" s="229"/>
      <c r="CA60" s="229"/>
      <c r="CB60" s="230"/>
      <c r="CC60" s="213" t="s">
        <v>20</v>
      </c>
      <c r="CD60" s="214"/>
      <c r="CE60" s="214"/>
      <c r="CF60" s="214"/>
      <c r="CG60" s="215"/>
    </row>
    <row r="61" spans="1:85" ht="20.100000000000001" customHeight="1">
      <c r="A61" s="203"/>
      <c r="B61" s="204"/>
      <c r="C61" s="204"/>
      <c r="D61" s="204"/>
      <c r="E61" s="205"/>
      <c r="F61" s="46" t="s">
        <v>68</v>
      </c>
      <c r="G61" s="21"/>
      <c r="H61" s="21"/>
      <c r="I61" s="21"/>
      <c r="J61" s="32"/>
      <c r="K61" s="46" t="s">
        <v>68</v>
      </c>
      <c r="L61" s="21"/>
      <c r="M61" s="21"/>
      <c r="N61" s="21"/>
      <c r="O61" s="32"/>
      <c r="P61" s="46" t="s">
        <v>68</v>
      </c>
      <c r="Q61" s="21"/>
      <c r="R61" s="21"/>
      <c r="S61" s="21"/>
      <c r="T61" s="32"/>
      <c r="U61" s="46" t="s">
        <v>68</v>
      </c>
      <c r="V61" s="21"/>
      <c r="W61" s="21"/>
      <c r="X61" s="21"/>
      <c r="Y61" s="32"/>
      <c r="Z61" s="46" t="s">
        <v>68</v>
      </c>
      <c r="AA61" s="21"/>
      <c r="AB61" s="19"/>
      <c r="AC61" s="19"/>
      <c r="AD61" s="34"/>
      <c r="AE61" s="46" t="s">
        <v>68</v>
      </c>
      <c r="AF61" s="19"/>
      <c r="AG61" s="19"/>
      <c r="AH61" s="19"/>
      <c r="AI61" s="34"/>
      <c r="AJ61" s="46" t="s">
        <v>68</v>
      </c>
      <c r="AK61" s="19"/>
      <c r="AL61" s="19"/>
      <c r="AM61" s="2"/>
      <c r="AN61" s="8"/>
      <c r="AO61" s="46" t="s">
        <v>68</v>
      </c>
      <c r="AP61" s="2"/>
      <c r="AQ61" s="2"/>
      <c r="AR61" s="2"/>
      <c r="AS61" s="8"/>
      <c r="AT61" s="46" t="s">
        <v>68</v>
      </c>
      <c r="AU61" s="25"/>
      <c r="AV61" s="25"/>
      <c r="AW61" s="25"/>
      <c r="AX61" s="36"/>
      <c r="AY61" s="46" t="s">
        <v>68</v>
      </c>
      <c r="AZ61" s="26"/>
      <c r="BA61" s="26"/>
      <c r="BB61" s="26"/>
      <c r="BC61" s="37"/>
      <c r="BD61" s="46" t="s">
        <v>68</v>
      </c>
      <c r="BE61" s="2"/>
      <c r="BF61" s="2"/>
      <c r="BG61" s="2"/>
      <c r="BH61" s="8"/>
      <c r="BI61" s="46" t="s">
        <v>68</v>
      </c>
      <c r="BJ61" s="29"/>
      <c r="BK61" s="29"/>
      <c r="BL61" s="29"/>
      <c r="BM61" s="30"/>
      <c r="BN61" s="46" t="s">
        <v>68</v>
      </c>
      <c r="BO61" s="29"/>
      <c r="BP61" s="29"/>
      <c r="BQ61" s="29"/>
      <c r="BR61" s="30"/>
      <c r="BS61" s="224"/>
      <c r="BT61" s="224"/>
      <c r="BU61" s="224"/>
      <c r="BV61" s="224"/>
      <c r="BW61" s="225"/>
      <c r="BX61" s="231"/>
      <c r="BY61" s="232"/>
      <c r="BZ61" s="232"/>
      <c r="CA61" s="232"/>
      <c r="CB61" s="233"/>
      <c r="CC61" s="216"/>
      <c r="CD61" s="217"/>
      <c r="CE61" s="217"/>
      <c r="CF61" s="217"/>
      <c r="CG61" s="218"/>
    </row>
    <row r="62" spans="1:85" ht="20.100000000000001" customHeight="1">
      <c r="A62" s="203"/>
      <c r="B62" s="204"/>
      <c r="C62" s="204"/>
      <c r="D62" s="204"/>
      <c r="E62" s="205"/>
      <c r="F62" s="366">
        <f>SUM(2012-((360*G63)/365.25))</f>
        <v>-16400819343.236139</v>
      </c>
      <c r="G62" s="367"/>
      <c r="H62" s="367"/>
      <c r="I62" s="367"/>
      <c r="J62" s="368"/>
      <c r="K62" s="366">
        <f t="shared" ref="K62:AP62" si="66">SUM(2012-((360*L63)/365.25))</f>
        <v>-15139217700.525667</v>
      </c>
      <c r="L62" s="367"/>
      <c r="M62" s="367"/>
      <c r="N62" s="367"/>
      <c r="O62" s="368"/>
      <c r="P62" s="366">
        <f t="shared" ref="P62:AU62" si="67">SUM(2012-((360*Q63)/365.25))</f>
        <v>-13877616057.815195</v>
      </c>
      <c r="Q62" s="367"/>
      <c r="R62" s="367"/>
      <c r="S62" s="367"/>
      <c r="T62" s="368"/>
      <c r="U62" s="366">
        <f t="shared" ref="U62:AZ62" si="68">SUM(2012-((360*V63)/365.25))</f>
        <v>-12616014415.104723</v>
      </c>
      <c r="V62" s="367"/>
      <c r="W62" s="367"/>
      <c r="X62" s="367"/>
      <c r="Y62" s="368"/>
      <c r="Z62" s="366">
        <f t="shared" ref="Z62:BR62" si="69">SUM(2012-((360*AA63)/365.25))</f>
        <v>-11354412772.394251</v>
      </c>
      <c r="AA62" s="367"/>
      <c r="AB62" s="367"/>
      <c r="AC62" s="367"/>
      <c r="AD62" s="368"/>
      <c r="AE62" s="366">
        <f t="shared" ref="AE62:BR62" si="70">SUM(2012-((360*AF63)/365.25))</f>
        <v>-10092811129.683779</v>
      </c>
      <c r="AF62" s="367"/>
      <c r="AG62" s="367"/>
      <c r="AH62" s="367"/>
      <c r="AI62" s="368"/>
      <c r="AJ62" s="366">
        <f t="shared" ref="AJ62:BR62" si="71">SUM(2012-((360*AK63)/365.25))</f>
        <v>-8831209486.9733067</v>
      </c>
      <c r="AK62" s="367"/>
      <c r="AL62" s="367"/>
      <c r="AM62" s="367"/>
      <c r="AN62" s="368"/>
      <c r="AO62" s="366">
        <f t="shared" ref="AO62:BR62" si="72">SUM(2012-((360*AP63)/365.25))</f>
        <v>-7569607844.2628336</v>
      </c>
      <c r="AP62" s="367"/>
      <c r="AQ62" s="367"/>
      <c r="AR62" s="367"/>
      <c r="AS62" s="368"/>
      <c r="AT62" s="366">
        <f t="shared" ref="AT62:BR62" si="73">SUM(2012-((360*AU63)/365.25))</f>
        <v>-6308006201.5523615</v>
      </c>
      <c r="AU62" s="367"/>
      <c r="AV62" s="367"/>
      <c r="AW62" s="367"/>
      <c r="AX62" s="368"/>
      <c r="AY62" s="366">
        <f t="shared" ref="AY62:BR62" si="74">SUM(2012-((360*AZ63)/365.25))</f>
        <v>-5046404558.8418894</v>
      </c>
      <c r="AZ62" s="367"/>
      <c r="BA62" s="367"/>
      <c r="BB62" s="367"/>
      <c r="BC62" s="368"/>
      <c r="BD62" s="366">
        <f t="shared" ref="BD62:BR62" si="75">SUM(2012-((360*BE63)/365.25))</f>
        <v>-3784802916.1314168</v>
      </c>
      <c r="BE62" s="367"/>
      <c r="BF62" s="367"/>
      <c r="BG62" s="367"/>
      <c r="BH62" s="368"/>
      <c r="BI62" s="366">
        <f t="shared" ref="BI62:BR62" si="76">SUM(2012-((360*BJ63)/365.25))</f>
        <v>-2523201273.4209447</v>
      </c>
      <c r="BJ62" s="367"/>
      <c r="BK62" s="367"/>
      <c r="BL62" s="367"/>
      <c r="BM62" s="368"/>
      <c r="BN62" s="366">
        <f t="shared" ref="BN62:BR62" si="77">SUM(2012-((360*BO63)/365.25))</f>
        <v>-1261599630.7104723</v>
      </c>
      <c r="BO62" s="367"/>
      <c r="BP62" s="367"/>
      <c r="BQ62" s="367"/>
      <c r="BR62" s="368"/>
      <c r="BS62" s="224"/>
      <c r="BT62" s="224"/>
      <c r="BU62" s="224"/>
      <c r="BV62" s="224"/>
      <c r="BW62" s="225"/>
      <c r="BX62" s="231"/>
      <c r="BY62" s="232"/>
      <c r="BZ62" s="232"/>
      <c r="CA62" s="232"/>
      <c r="CB62" s="233"/>
      <c r="CC62" s="216"/>
      <c r="CD62" s="217"/>
      <c r="CE62" s="217"/>
      <c r="CF62" s="217"/>
      <c r="CG62" s="218"/>
    </row>
    <row r="63" spans="1:85" ht="20.100000000000001" customHeight="1">
      <c r="A63" s="203"/>
      <c r="B63" s="204"/>
      <c r="C63" s="204"/>
      <c r="D63" s="204"/>
      <c r="E63" s="205"/>
      <c r="F63" s="45" t="s">
        <v>75</v>
      </c>
      <c r="G63" s="322">
        <f>SUM(13*(20*20*20*20*20*20*20))</f>
        <v>16640000000</v>
      </c>
      <c r="H63" s="322"/>
      <c r="I63" s="322"/>
      <c r="J63" s="323"/>
      <c r="K63" s="45" t="s">
        <v>75</v>
      </c>
      <c r="L63" s="324">
        <f>SUM(12*(20*20*20*20*20*20*20))</f>
        <v>15360000000</v>
      </c>
      <c r="M63" s="324"/>
      <c r="N63" s="324"/>
      <c r="O63" s="325"/>
      <c r="P63" s="45" t="s">
        <v>75</v>
      </c>
      <c r="Q63" s="322">
        <f>SUM(11*(20*20*20*20*20*20*20))</f>
        <v>14080000000</v>
      </c>
      <c r="R63" s="322"/>
      <c r="S63" s="322"/>
      <c r="T63" s="323"/>
      <c r="U63" s="45" t="s">
        <v>75</v>
      </c>
      <c r="V63" s="322">
        <f>SUM(10*(20*20*20*20*20*20*20))</f>
        <v>12800000000</v>
      </c>
      <c r="W63" s="322"/>
      <c r="X63" s="322"/>
      <c r="Y63" s="323"/>
      <c r="Z63" s="45" t="s">
        <v>75</v>
      </c>
      <c r="AA63" s="322">
        <f>SUM(9*(20*20*20*20*20*20*20))</f>
        <v>11520000000</v>
      </c>
      <c r="AB63" s="322"/>
      <c r="AC63" s="322"/>
      <c r="AD63" s="323"/>
      <c r="AE63" s="45" t="s">
        <v>75</v>
      </c>
      <c r="AF63" s="322">
        <f>SUM(8*(20*20*20*20*20*20*20))</f>
        <v>10240000000</v>
      </c>
      <c r="AG63" s="322"/>
      <c r="AH63" s="322"/>
      <c r="AI63" s="323"/>
      <c r="AJ63" s="45" t="s">
        <v>75</v>
      </c>
      <c r="AK63" s="322">
        <f>SUM(7*(20*20*20*20*20*20*20))</f>
        <v>8960000000</v>
      </c>
      <c r="AL63" s="322"/>
      <c r="AM63" s="322"/>
      <c r="AN63" s="323"/>
      <c r="AO63" s="45" t="s">
        <v>75</v>
      </c>
      <c r="AP63" s="322">
        <f>SUM(6*(20*20*20*20*20*20*20))</f>
        <v>7680000000</v>
      </c>
      <c r="AQ63" s="322"/>
      <c r="AR63" s="322"/>
      <c r="AS63" s="323"/>
      <c r="AT63" s="45" t="s">
        <v>75</v>
      </c>
      <c r="AU63" s="317">
        <f>SUM(5*(20*20*20*20*20*20*20))</f>
        <v>6400000000</v>
      </c>
      <c r="AV63" s="317"/>
      <c r="AW63" s="317"/>
      <c r="AX63" s="318"/>
      <c r="AY63" s="45" t="s">
        <v>75</v>
      </c>
      <c r="AZ63" s="317">
        <f>SUM(4*(20*20*20*20*20*20*20))</f>
        <v>5120000000</v>
      </c>
      <c r="BA63" s="317"/>
      <c r="BB63" s="317"/>
      <c r="BC63" s="318"/>
      <c r="BD63" s="45" t="s">
        <v>75</v>
      </c>
      <c r="BE63" s="317">
        <f>SUM(3*(20*20*20*20*20*20*20))</f>
        <v>3840000000</v>
      </c>
      <c r="BF63" s="317"/>
      <c r="BG63" s="317"/>
      <c r="BH63" s="318"/>
      <c r="BI63" s="45" t="s">
        <v>75</v>
      </c>
      <c r="BJ63" s="317">
        <f>SUM(2*(20*20*20*20*20*20*20))</f>
        <v>2560000000</v>
      </c>
      <c r="BK63" s="317"/>
      <c r="BL63" s="317"/>
      <c r="BM63" s="318"/>
      <c r="BN63" s="45" t="s">
        <v>75</v>
      </c>
      <c r="BO63" s="317">
        <f>SUM(1*(20*20*20*20*20*20*20))</f>
        <v>1280000000</v>
      </c>
      <c r="BP63" s="317"/>
      <c r="BQ63" s="317"/>
      <c r="BR63" s="318"/>
      <c r="BS63" s="224"/>
      <c r="BT63" s="224"/>
      <c r="BU63" s="224"/>
      <c r="BV63" s="224"/>
      <c r="BW63" s="225"/>
      <c r="BX63" s="231"/>
      <c r="BY63" s="232"/>
      <c r="BZ63" s="232"/>
      <c r="CA63" s="232"/>
      <c r="CB63" s="233"/>
      <c r="CC63" s="216"/>
      <c r="CD63" s="217"/>
      <c r="CE63" s="217"/>
      <c r="CF63" s="217"/>
      <c r="CG63" s="218"/>
    </row>
    <row r="64" spans="1:85" ht="20.100000000000001" customHeight="1" thickBot="1">
      <c r="A64" s="206"/>
      <c r="B64" s="207"/>
      <c r="C64" s="207"/>
      <c r="D64" s="207"/>
      <c r="E64" s="208"/>
      <c r="F64" s="378">
        <f>SUM(G63*360)/365.25</f>
        <v>16400821355.236139</v>
      </c>
      <c r="G64" s="379"/>
      <c r="H64" s="379"/>
      <c r="I64" s="379"/>
      <c r="J64" s="380"/>
      <c r="K64" s="378">
        <f>SUM(L63*360)/365.25</f>
        <v>15139219712.525667</v>
      </c>
      <c r="L64" s="379"/>
      <c r="M64" s="379"/>
      <c r="N64" s="379"/>
      <c r="O64" s="380"/>
      <c r="P64" s="378">
        <f>SUM(Q63*360)/365.25</f>
        <v>13877618069.815195</v>
      </c>
      <c r="Q64" s="379"/>
      <c r="R64" s="379"/>
      <c r="S64" s="379"/>
      <c r="T64" s="380"/>
      <c r="U64" s="378">
        <f>SUM(V63*360)/365.25</f>
        <v>12616016427.104723</v>
      </c>
      <c r="V64" s="379"/>
      <c r="W64" s="379"/>
      <c r="X64" s="379"/>
      <c r="Y64" s="380"/>
      <c r="Z64" s="378">
        <f>SUM(AA63*360)/365.25</f>
        <v>11354414784.394251</v>
      </c>
      <c r="AA64" s="379"/>
      <c r="AB64" s="379"/>
      <c r="AC64" s="379"/>
      <c r="AD64" s="380"/>
      <c r="AE64" s="378">
        <f>SUM(AF63*360)/365.25</f>
        <v>10092813141.683779</v>
      </c>
      <c r="AF64" s="379"/>
      <c r="AG64" s="379"/>
      <c r="AH64" s="379"/>
      <c r="AI64" s="380"/>
      <c r="AJ64" s="375">
        <f>SUM(AK63*360)/365.25</f>
        <v>8831211498.9733067</v>
      </c>
      <c r="AK64" s="376"/>
      <c r="AL64" s="376"/>
      <c r="AM64" s="376"/>
      <c r="AN64" s="377"/>
      <c r="AO64" s="381">
        <f>SUM(AP63*360)/365.25</f>
        <v>7569609856.2628336</v>
      </c>
      <c r="AP64" s="382"/>
      <c r="AQ64" s="382"/>
      <c r="AR64" s="382"/>
      <c r="AS64" s="383"/>
      <c r="AT64" s="378">
        <f>SUM(AU63*360)/365.25</f>
        <v>6308008213.5523615</v>
      </c>
      <c r="AU64" s="379"/>
      <c r="AV64" s="379"/>
      <c r="AW64" s="379"/>
      <c r="AX64" s="380"/>
      <c r="AY64" s="378">
        <f>SUM(AZ63*360)/365.25</f>
        <v>5046406570.8418894</v>
      </c>
      <c r="AZ64" s="379"/>
      <c r="BA64" s="379"/>
      <c r="BB64" s="379"/>
      <c r="BC64" s="380"/>
      <c r="BD64" s="378">
        <f>SUM(BE63*360)/365.25</f>
        <v>3784804928.1314168</v>
      </c>
      <c r="BE64" s="379"/>
      <c r="BF64" s="379"/>
      <c r="BG64" s="379"/>
      <c r="BH64" s="380"/>
      <c r="BI64" s="378">
        <f>SUM(BJ63*360)/365.25</f>
        <v>2523203285.4209447</v>
      </c>
      <c r="BJ64" s="379"/>
      <c r="BK64" s="379"/>
      <c r="BL64" s="379"/>
      <c r="BM64" s="380"/>
      <c r="BN64" s="378">
        <f>SUM(BO63*360)/365.25</f>
        <v>1261601642.7104723</v>
      </c>
      <c r="BO64" s="379"/>
      <c r="BP64" s="379"/>
      <c r="BQ64" s="379"/>
      <c r="BR64" s="380"/>
      <c r="BS64" s="226"/>
      <c r="BT64" s="226"/>
      <c r="BU64" s="226"/>
      <c r="BV64" s="226"/>
      <c r="BW64" s="227"/>
      <c r="BX64" s="234"/>
      <c r="BY64" s="235"/>
      <c r="BZ64" s="235"/>
      <c r="CA64" s="235"/>
      <c r="CB64" s="236"/>
      <c r="CC64" s="219"/>
      <c r="CD64" s="220"/>
      <c r="CE64" s="220"/>
      <c r="CF64" s="220"/>
      <c r="CG64" s="221"/>
    </row>
    <row r="65" spans="6:70" ht="19.5" customHeight="1" thickTop="1">
      <c r="F65" s="263">
        <v>1</v>
      </c>
      <c r="G65" s="232"/>
      <c r="H65" s="232"/>
      <c r="I65" s="232"/>
      <c r="J65" s="264"/>
      <c r="K65" s="257"/>
      <c r="L65" s="258"/>
      <c r="M65" s="258"/>
      <c r="N65" s="258"/>
      <c r="O65" s="259"/>
      <c r="P65" s="263">
        <v>2</v>
      </c>
      <c r="Q65" s="232"/>
      <c r="R65" s="232"/>
      <c r="S65" s="232"/>
      <c r="T65" s="264"/>
      <c r="U65" s="257"/>
      <c r="V65" s="258"/>
      <c r="W65" s="258"/>
      <c r="X65" s="258"/>
      <c r="Y65" s="259"/>
      <c r="Z65" s="263">
        <v>3</v>
      </c>
      <c r="AA65" s="232"/>
      <c r="AB65" s="232"/>
      <c r="AC65" s="232"/>
      <c r="AD65" s="264"/>
      <c r="AE65" s="257"/>
      <c r="AF65" s="258"/>
      <c r="AG65" s="258"/>
      <c r="AH65" s="258"/>
      <c r="AI65" s="259"/>
      <c r="AJ65" s="263">
        <v>4</v>
      </c>
      <c r="AK65" s="232"/>
      <c r="AL65" s="232"/>
      <c r="AM65" s="232"/>
      <c r="AN65" s="264"/>
      <c r="AO65" s="257"/>
      <c r="AP65" s="258"/>
      <c r="AQ65" s="258"/>
      <c r="AR65" s="258"/>
      <c r="AS65" s="259"/>
      <c r="AT65" s="326">
        <v>5</v>
      </c>
      <c r="AU65" s="327"/>
      <c r="AV65" s="327"/>
      <c r="AW65" s="327"/>
      <c r="AX65" s="328"/>
      <c r="AY65" s="257"/>
      <c r="AZ65" s="258"/>
      <c r="BA65" s="258"/>
      <c r="BB65" s="258"/>
      <c r="BC65" s="259"/>
      <c r="BD65" s="263">
        <v>6</v>
      </c>
      <c r="BE65" s="232"/>
      <c r="BF65" s="232"/>
      <c r="BG65" s="232"/>
      <c r="BH65" s="264"/>
      <c r="BI65" s="257"/>
      <c r="BJ65" s="258"/>
      <c r="BK65" s="258"/>
      <c r="BL65" s="258"/>
      <c r="BM65" s="259"/>
      <c r="BN65" s="326">
        <v>7</v>
      </c>
      <c r="BO65" s="327"/>
      <c r="BP65" s="327"/>
      <c r="BQ65" s="327"/>
      <c r="BR65" s="328"/>
    </row>
    <row r="66" spans="6:70" ht="18.75" customHeight="1">
      <c r="F66" s="263"/>
      <c r="G66" s="232"/>
      <c r="H66" s="232"/>
      <c r="I66" s="232"/>
      <c r="J66" s="264"/>
      <c r="K66" s="257"/>
      <c r="L66" s="258"/>
      <c r="M66" s="258"/>
      <c r="N66" s="258"/>
      <c r="O66" s="259"/>
      <c r="P66" s="263"/>
      <c r="Q66" s="232"/>
      <c r="R66" s="232"/>
      <c r="S66" s="232"/>
      <c r="T66" s="264"/>
      <c r="U66" s="257"/>
      <c r="V66" s="258"/>
      <c r="W66" s="258"/>
      <c r="X66" s="258"/>
      <c r="Y66" s="259"/>
      <c r="Z66" s="263"/>
      <c r="AA66" s="232"/>
      <c r="AB66" s="232"/>
      <c r="AC66" s="232"/>
      <c r="AD66" s="264"/>
      <c r="AE66" s="257"/>
      <c r="AF66" s="258"/>
      <c r="AG66" s="258"/>
      <c r="AH66" s="258"/>
      <c r="AI66" s="259"/>
      <c r="AJ66" s="263"/>
      <c r="AK66" s="232"/>
      <c r="AL66" s="232"/>
      <c r="AM66" s="232"/>
      <c r="AN66" s="264"/>
      <c r="AO66" s="257"/>
      <c r="AP66" s="258"/>
      <c r="AQ66" s="258"/>
      <c r="AR66" s="258"/>
      <c r="AS66" s="259"/>
      <c r="AT66" s="263"/>
      <c r="AU66" s="232"/>
      <c r="AV66" s="232"/>
      <c r="AW66" s="232"/>
      <c r="AX66" s="264"/>
      <c r="AY66" s="257"/>
      <c r="AZ66" s="258"/>
      <c r="BA66" s="258"/>
      <c r="BB66" s="258"/>
      <c r="BC66" s="259"/>
      <c r="BD66" s="263"/>
      <c r="BE66" s="232"/>
      <c r="BF66" s="232"/>
      <c r="BG66" s="232"/>
      <c r="BH66" s="264"/>
      <c r="BI66" s="257"/>
      <c r="BJ66" s="258"/>
      <c r="BK66" s="258"/>
      <c r="BL66" s="258"/>
      <c r="BM66" s="259"/>
      <c r="BN66" s="263"/>
      <c r="BO66" s="232"/>
      <c r="BP66" s="232"/>
      <c r="BQ66" s="232"/>
      <c r="BR66" s="264"/>
    </row>
    <row r="67" spans="6:70" ht="18.75" customHeight="1">
      <c r="F67" s="263"/>
      <c r="G67" s="232"/>
      <c r="H67" s="232"/>
      <c r="I67" s="232"/>
      <c r="J67" s="264"/>
      <c r="K67" s="257"/>
      <c r="L67" s="258"/>
      <c r="M67" s="258"/>
      <c r="N67" s="258"/>
      <c r="O67" s="259"/>
      <c r="P67" s="263"/>
      <c r="Q67" s="232"/>
      <c r="R67" s="232"/>
      <c r="S67" s="232"/>
      <c r="T67" s="264"/>
      <c r="U67" s="257"/>
      <c r="V67" s="258"/>
      <c r="W67" s="258"/>
      <c r="X67" s="258"/>
      <c r="Y67" s="259"/>
      <c r="Z67" s="263"/>
      <c r="AA67" s="232"/>
      <c r="AB67" s="232"/>
      <c r="AC67" s="232"/>
      <c r="AD67" s="264"/>
      <c r="AE67" s="257"/>
      <c r="AF67" s="258"/>
      <c r="AG67" s="258"/>
      <c r="AH67" s="258"/>
      <c r="AI67" s="259"/>
      <c r="AJ67" s="263"/>
      <c r="AK67" s="232"/>
      <c r="AL67" s="232"/>
      <c r="AM67" s="232"/>
      <c r="AN67" s="264"/>
      <c r="AO67" s="257"/>
      <c r="AP67" s="258"/>
      <c r="AQ67" s="258"/>
      <c r="AR67" s="258"/>
      <c r="AS67" s="259"/>
      <c r="AT67" s="263"/>
      <c r="AU67" s="232"/>
      <c r="AV67" s="232"/>
      <c r="AW67" s="232"/>
      <c r="AX67" s="264"/>
      <c r="AY67" s="257"/>
      <c r="AZ67" s="258"/>
      <c r="BA67" s="258"/>
      <c r="BB67" s="258"/>
      <c r="BC67" s="259"/>
      <c r="BD67" s="263"/>
      <c r="BE67" s="232"/>
      <c r="BF67" s="232"/>
      <c r="BG67" s="232"/>
      <c r="BH67" s="264"/>
      <c r="BI67" s="257"/>
      <c r="BJ67" s="258"/>
      <c r="BK67" s="258"/>
      <c r="BL67" s="258"/>
      <c r="BM67" s="259"/>
      <c r="BN67" s="263"/>
      <c r="BO67" s="232"/>
      <c r="BP67" s="232"/>
      <c r="BQ67" s="232"/>
      <c r="BR67" s="264"/>
    </row>
    <row r="68" spans="6:70" ht="18.75" customHeight="1">
      <c r="F68" s="263"/>
      <c r="G68" s="232"/>
      <c r="H68" s="232"/>
      <c r="I68" s="232"/>
      <c r="J68" s="264"/>
      <c r="K68" s="257"/>
      <c r="L68" s="258"/>
      <c r="M68" s="258"/>
      <c r="N68" s="258"/>
      <c r="O68" s="259"/>
      <c r="P68" s="263"/>
      <c r="Q68" s="232"/>
      <c r="R68" s="232"/>
      <c r="S68" s="232"/>
      <c r="T68" s="264"/>
      <c r="U68" s="257"/>
      <c r="V68" s="258"/>
      <c r="W68" s="258"/>
      <c r="X68" s="258"/>
      <c r="Y68" s="259"/>
      <c r="Z68" s="263"/>
      <c r="AA68" s="232"/>
      <c r="AB68" s="232"/>
      <c r="AC68" s="232"/>
      <c r="AD68" s="264"/>
      <c r="AE68" s="257"/>
      <c r="AF68" s="258"/>
      <c r="AG68" s="258"/>
      <c r="AH68" s="258"/>
      <c r="AI68" s="259"/>
      <c r="AJ68" s="263"/>
      <c r="AK68" s="232"/>
      <c r="AL68" s="232"/>
      <c r="AM68" s="232"/>
      <c r="AN68" s="264"/>
      <c r="AO68" s="257"/>
      <c r="AP68" s="258"/>
      <c r="AQ68" s="258"/>
      <c r="AR68" s="258"/>
      <c r="AS68" s="259"/>
      <c r="AT68" s="263"/>
      <c r="AU68" s="232"/>
      <c r="AV68" s="232"/>
      <c r="AW68" s="232"/>
      <c r="AX68" s="264"/>
      <c r="AY68" s="257"/>
      <c r="AZ68" s="258"/>
      <c r="BA68" s="258"/>
      <c r="BB68" s="258"/>
      <c r="BC68" s="259"/>
      <c r="BD68" s="263"/>
      <c r="BE68" s="232"/>
      <c r="BF68" s="232"/>
      <c r="BG68" s="232"/>
      <c r="BH68" s="264"/>
      <c r="BI68" s="257"/>
      <c r="BJ68" s="258"/>
      <c r="BK68" s="258"/>
      <c r="BL68" s="258"/>
      <c r="BM68" s="259"/>
      <c r="BN68" s="263"/>
      <c r="BO68" s="232"/>
      <c r="BP68" s="232"/>
      <c r="BQ68" s="232"/>
      <c r="BR68" s="264"/>
    </row>
    <row r="69" spans="6:70" ht="19.5" customHeight="1" thickBot="1">
      <c r="F69" s="265"/>
      <c r="G69" s="266"/>
      <c r="H69" s="266"/>
      <c r="I69" s="266"/>
      <c r="J69" s="267"/>
      <c r="K69" s="260"/>
      <c r="L69" s="261"/>
      <c r="M69" s="261"/>
      <c r="N69" s="261"/>
      <c r="O69" s="262"/>
      <c r="P69" s="265"/>
      <c r="Q69" s="266"/>
      <c r="R69" s="266"/>
      <c r="S69" s="266"/>
      <c r="T69" s="267"/>
      <c r="U69" s="260"/>
      <c r="V69" s="261"/>
      <c r="W69" s="261"/>
      <c r="X69" s="261"/>
      <c r="Y69" s="262"/>
      <c r="Z69" s="265"/>
      <c r="AA69" s="266"/>
      <c r="AB69" s="266"/>
      <c r="AC69" s="266"/>
      <c r="AD69" s="267"/>
      <c r="AE69" s="260"/>
      <c r="AF69" s="261"/>
      <c r="AG69" s="261"/>
      <c r="AH69" s="261"/>
      <c r="AI69" s="262"/>
      <c r="AJ69" s="265"/>
      <c r="AK69" s="266"/>
      <c r="AL69" s="266"/>
      <c r="AM69" s="266"/>
      <c r="AN69" s="267"/>
      <c r="AO69" s="260"/>
      <c r="AP69" s="261"/>
      <c r="AQ69" s="261"/>
      <c r="AR69" s="261"/>
      <c r="AS69" s="262"/>
      <c r="AT69" s="265"/>
      <c r="AU69" s="266"/>
      <c r="AV69" s="266"/>
      <c r="AW69" s="266"/>
      <c r="AX69" s="267"/>
      <c r="AY69" s="260"/>
      <c r="AZ69" s="261"/>
      <c r="BA69" s="261"/>
      <c r="BB69" s="261"/>
      <c r="BC69" s="262"/>
      <c r="BD69" s="265"/>
      <c r="BE69" s="266"/>
      <c r="BF69" s="266"/>
      <c r="BG69" s="266"/>
      <c r="BH69" s="267"/>
      <c r="BI69" s="260"/>
      <c r="BJ69" s="261"/>
      <c r="BK69" s="261"/>
      <c r="BL69" s="261"/>
      <c r="BM69" s="262"/>
      <c r="BN69" s="265"/>
      <c r="BO69" s="266"/>
      <c r="BP69" s="266"/>
      <c r="BQ69" s="266"/>
      <c r="BR69" s="267"/>
    </row>
    <row r="70" spans="6:70" ht="19.5" customHeight="1" thickTop="1">
      <c r="F70" s="268">
        <v>1</v>
      </c>
      <c r="G70" s="269"/>
      <c r="H70" s="269"/>
      <c r="I70" s="269"/>
      <c r="J70" s="270"/>
      <c r="K70" s="268">
        <v>2</v>
      </c>
      <c r="L70" s="269"/>
      <c r="M70" s="269"/>
      <c r="N70" s="269"/>
      <c r="O70" s="270"/>
      <c r="P70" s="268">
        <v>3</v>
      </c>
      <c r="Q70" s="269"/>
      <c r="R70" s="269"/>
      <c r="S70" s="269"/>
      <c r="T70" s="270"/>
      <c r="U70" s="268">
        <v>4</v>
      </c>
      <c r="V70" s="269"/>
      <c r="W70" s="269"/>
      <c r="X70" s="269"/>
      <c r="Y70" s="270"/>
      <c r="Z70" s="268">
        <v>5</v>
      </c>
      <c r="AA70" s="269"/>
      <c r="AB70" s="269"/>
      <c r="AC70" s="269"/>
      <c r="AD70" s="270"/>
      <c r="AE70" s="268">
        <v>6</v>
      </c>
      <c r="AF70" s="269"/>
      <c r="AG70" s="269"/>
      <c r="AH70" s="269"/>
      <c r="AI70" s="270"/>
      <c r="AJ70" s="268">
        <v>7</v>
      </c>
      <c r="AK70" s="269"/>
      <c r="AL70" s="269"/>
      <c r="AM70" s="269"/>
      <c r="AN70" s="270"/>
      <c r="AO70" s="268">
        <v>8</v>
      </c>
      <c r="AP70" s="269"/>
      <c r="AQ70" s="269"/>
      <c r="AR70" s="269"/>
      <c r="AS70" s="270"/>
      <c r="AT70" s="268">
        <v>9</v>
      </c>
      <c r="AU70" s="269"/>
      <c r="AV70" s="269"/>
      <c r="AW70" s="269"/>
      <c r="AX70" s="270"/>
      <c r="AY70" s="268">
        <v>10</v>
      </c>
      <c r="AZ70" s="269"/>
      <c r="BA70" s="269"/>
      <c r="BB70" s="269"/>
      <c r="BC70" s="270"/>
      <c r="BD70" s="268">
        <v>11</v>
      </c>
      <c r="BE70" s="269"/>
      <c r="BF70" s="269"/>
      <c r="BG70" s="269"/>
      <c r="BH70" s="270"/>
      <c r="BI70" s="268">
        <v>12</v>
      </c>
      <c r="BJ70" s="269"/>
      <c r="BK70" s="269"/>
      <c r="BL70" s="269"/>
      <c r="BM70" s="270"/>
      <c r="BN70" s="268">
        <v>13</v>
      </c>
      <c r="BO70" s="269"/>
      <c r="BP70" s="269"/>
      <c r="BQ70" s="269"/>
      <c r="BR70" s="270"/>
    </row>
    <row r="71" spans="6:70" ht="18.75" customHeight="1">
      <c r="F71" s="271"/>
      <c r="G71" s="272"/>
      <c r="H71" s="272"/>
      <c r="I71" s="272"/>
      <c r="J71" s="273"/>
      <c r="K71" s="271"/>
      <c r="L71" s="272"/>
      <c r="M71" s="272"/>
      <c r="N71" s="272"/>
      <c r="O71" s="273"/>
      <c r="P71" s="271"/>
      <c r="Q71" s="272"/>
      <c r="R71" s="272"/>
      <c r="S71" s="272"/>
      <c r="T71" s="273"/>
      <c r="U71" s="271"/>
      <c r="V71" s="272"/>
      <c r="W71" s="272"/>
      <c r="X71" s="272"/>
      <c r="Y71" s="273"/>
      <c r="Z71" s="271"/>
      <c r="AA71" s="272"/>
      <c r="AB71" s="272"/>
      <c r="AC71" s="272"/>
      <c r="AD71" s="273"/>
      <c r="AE71" s="271"/>
      <c r="AF71" s="272"/>
      <c r="AG71" s="272"/>
      <c r="AH71" s="272"/>
      <c r="AI71" s="273"/>
      <c r="AJ71" s="271"/>
      <c r="AK71" s="272"/>
      <c r="AL71" s="272"/>
      <c r="AM71" s="272"/>
      <c r="AN71" s="273"/>
      <c r="AO71" s="271"/>
      <c r="AP71" s="272"/>
      <c r="AQ71" s="272"/>
      <c r="AR71" s="272"/>
      <c r="AS71" s="273"/>
      <c r="AT71" s="271"/>
      <c r="AU71" s="272"/>
      <c r="AV71" s="272"/>
      <c r="AW71" s="272"/>
      <c r="AX71" s="273"/>
      <c r="AY71" s="271"/>
      <c r="AZ71" s="272"/>
      <c r="BA71" s="272"/>
      <c r="BB71" s="272"/>
      <c r="BC71" s="273"/>
      <c r="BD71" s="271"/>
      <c r="BE71" s="272"/>
      <c r="BF71" s="272"/>
      <c r="BG71" s="272"/>
      <c r="BH71" s="273"/>
      <c r="BI71" s="271"/>
      <c r="BJ71" s="272"/>
      <c r="BK71" s="272"/>
      <c r="BL71" s="272"/>
      <c r="BM71" s="273"/>
      <c r="BN71" s="271"/>
      <c r="BO71" s="272"/>
      <c r="BP71" s="272"/>
      <c r="BQ71" s="272"/>
      <c r="BR71" s="273"/>
    </row>
    <row r="72" spans="6:70" ht="18.75" customHeight="1">
      <c r="F72" s="271"/>
      <c r="G72" s="272"/>
      <c r="H72" s="272"/>
      <c r="I72" s="272"/>
      <c r="J72" s="273"/>
      <c r="K72" s="271"/>
      <c r="L72" s="272"/>
      <c r="M72" s="272"/>
      <c r="N72" s="272"/>
      <c r="O72" s="273"/>
      <c r="P72" s="271"/>
      <c r="Q72" s="272"/>
      <c r="R72" s="272"/>
      <c r="S72" s="272"/>
      <c r="T72" s="273"/>
      <c r="U72" s="271"/>
      <c r="V72" s="272"/>
      <c r="W72" s="272"/>
      <c r="X72" s="272"/>
      <c r="Y72" s="273"/>
      <c r="Z72" s="271"/>
      <c r="AA72" s="272"/>
      <c r="AB72" s="272"/>
      <c r="AC72" s="272"/>
      <c r="AD72" s="273"/>
      <c r="AE72" s="271"/>
      <c r="AF72" s="272"/>
      <c r="AG72" s="272"/>
      <c r="AH72" s="272"/>
      <c r="AI72" s="273"/>
      <c r="AJ72" s="271"/>
      <c r="AK72" s="272"/>
      <c r="AL72" s="272"/>
      <c r="AM72" s="272"/>
      <c r="AN72" s="273"/>
      <c r="AO72" s="271"/>
      <c r="AP72" s="272"/>
      <c r="AQ72" s="272"/>
      <c r="AR72" s="272"/>
      <c r="AS72" s="273"/>
      <c r="AT72" s="271"/>
      <c r="AU72" s="272"/>
      <c r="AV72" s="272"/>
      <c r="AW72" s="272"/>
      <c r="AX72" s="273"/>
      <c r="AY72" s="271"/>
      <c r="AZ72" s="272"/>
      <c r="BA72" s="272"/>
      <c r="BB72" s="272"/>
      <c r="BC72" s="273"/>
      <c r="BD72" s="271"/>
      <c r="BE72" s="272"/>
      <c r="BF72" s="272"/>
      <c r="BG72" s="272"/>
      <c r="BH72" s="273"/>
      <c r="BI72" s="271"/>
      <c r="BJ72" s="272"/>
      <c r="BK72" s="272"/>
      <c r="BL72" s="272"/>
      <c r="BM72" s="273"/>
      <c r="BN72" s="271"/>
      <c r="BO72" s="272"/>
      <c r="BP72" s="272"/>
      <c r="BQ72" s="272"/>
      <c r="BR72" s="273"/>
    </row>
    <row r="73" spans="6:70" ht="18.75" customHeight="1">
      <c r="F73" s="271"/>
      <c r="G73" s="272"/>
      <c r="H73" s="272"/>
      <c r="I73" s="272"/>
      <c r="J73" s="273"/>
      <c r="K73" s="271"/>
      <c r="L73" s="272"/>
      <c r="M73" s="272"/>
      <c r="N73" s="272"/>
      <c r="O73" s="273"/>
      <c r="P73" s="271"/>
      <c r="Q73" s="272"/>
      <c r="R73" s="272"/>
      <c r="S73" s="272"/>
      <c r="T73" s="273"/>
      <c r="U73" s="271"/>
      <c r="V73" s="272"/>
      <c r="W73" s="272"/>
      <c r="X73" s="272"/>
      <c r="Y73" s="273"/>
      <c r="Z73" s="271"/>
      <c r="AA73" s="272"/>
      <c r="AB73" s="272"/>
      <c r="AC73" s="272"/>
      <c r="AD73" s="273"/>
      <c r="AE73" s="271"/>
      <c r="AF73" s="272"/>
      <c r="AG73" s="272"/>
      <c r="AH73" s="272"/>
      <c r="AI73" s="273"/>
      <c r="AJ73" s="271"/>
      <c r="AK73" s="272"/>
      <c r="AL73" s="272"/>
      <c r="AM73" s="272"/>
      <c r="AN73" s="273"/>
      <c r="AO73" s="271"/>
      <c r="AP73" s="272"/>
      <c r="AQ73" s="272"/>
      <c r="AR73" s="272"/>
      <c r="AS73" s="273"/>
      <c r="AT73" s="271"/>
      <c r="AU73" s="272"/>
      <c r="AV73" s="272"/>
      <c r="AW73" s="272"/>
      <c r="AX73" s="273"/>
      <c r="AY73" s="271"/>
      <c r="AZ73" s="272"/>
      <c r="BA73" s="272"/>
      <c r="BB73" s="272"/>
      <c r="BC73" s="273"/>
      <c r="BD73" s="271"/>
      <c r="BE73" s="272"/>
      <c r="BF73" s="272"/>
      <c r="BG73" s="272"/>
      <c r="BH73" s="273"/>
      <c r="BI73" s="271"/>
      <c r="BJ73" s="272"/>
      <c r="BK73" s="272"/>
      <c r="BL73" s="272"/>
      <c r="BM73" s="273"/>
      <c r="BN73" s="271"/>
      <c r="BO73" s="272"/>
      <c r="BP73" s="272"/>
      <c r="BQ73" s="272"/>
      <c r="BR73" s="273"/>
    </row>
    <row r="74" spans="6:70" ht="19.5" customHeight="1" thickBot="1">
      <c r="F74" s="274"/>
      <c r="G74" s="275"/>
      <c r="H74" s="275"/>
      <c r="I74" s="275"/>
      <c r="J74" s="276"/>
      <c r="K74" s="274"/>
      <c r="L74" s="275"/>
      <c r="M74" s="275"/>
      <c r="N74" s="275"/>
      <c r="O74" s="276"/>
      <c r="P74" s="274"/>
      <c r="Q74" s="275"/>
      <c r="R74" s="275"/>
      <c r="S74" s="275"/>
      <c r="T74" s="276"/>
      <c r="U74" s="274"/>
      <c r="V74" s="275"/>
      <c r="W74" s="275"/>
      <c r="X74" s="275"/>
      <c r="Y74" s="276"/>
      <c r="Z74" s="274"/>
      <c r="AA74" s="275"/>
      <c r="AB74" s="275"/>
      <c r="AC74" s="275"/>
      <c r="AD74" s="276"/>
      <c r="AE74" s="274"/>
      <c r="AF74" s="275"/>
      <c r="AG74" s="275"/>
      <c r="AH74" s="275"/>
      <c r="AI74" s="276"/>
      <c r="AJ74" s="274"/>
      <c r="AK74" s="275"/>
      <c r="AL74" s="275"/>
      <c r="AM74" s="275"/>
      <c r="AN74" s="276"/>
      <c r="AO74" s="274"/>
      <c r="AP74" s="275"/>
      <c r="AQ74" s="275"/>
      <c r="AR74" s="275"/>
      <c r="AS74" s="276"/>
      <c r="AT74" s="274"/>
      <c r="AU74" s="275"/>
      <c r="AV74" s="275"/>
      <c r="AW74" s="275"/>
      <c r="AX74" s="276"/>
      <c r="AY74" s="274"/>
      <c r="AZ74" s="275"/>
      <c r="BA74" s="275"/>
      <c r="BB74" s="275"/>
      <c r="BC74" s="276"/>
      <c r="BD74" s="274"/>
      <c r="BE74" s="275"/>
      <c r="BF74" s="275"/>
      <c r="BG74" s="275"/>
      <c r="BH74" s="276"/>
      <c r="BI74" s="274"/>
      <c r="BJ74" s="275"/>
      <c r="BK74" s="275"/>
      <c r="BL74" s="275"/>
      <c r="BM74" s="276"/>
      <c r="BN74" s="274"/>
      <c r="BO74" s="275"/>
      <c r="BP74" s="275"/>
      <c r="BQ74" s="275"/>
      <c r="BR74" s="276"/>
    </row>
    <row r="75" spans="6:70" ht="21" customHeight="1" thickTop="1"/>
  </sheetData>
  <mergeCells count="632">
    <mergeCell ref="AO50:AS50"/>
    <mergeCell ref="AY50:BC50"/>
    <mergeCell ref="BI50:BM50"/>
    <mergeCell ref="K55:O55"/>
    <mergeCell ref="U55:Y55"/>
    <mergeCell ref="AE55:AI55"/>
    <mergeCell ref="AY55:BC55"/>
    <mergeCell ref="BI55:BM55"/>
    <mergeCell ref="K60:O60"/>
    <mergeCell ref="U60:Y60"/>
    <mergeCell ref="AE60:AI60"/>
    <mergeCell ref="AO60:AS60"/>
    <mergeCell ref="AY60:BC60"/>
    <mergeCell ref="BI60:BM60"/>
    <mergeCell ref="K35:O35"/>
    <mergeCell ref="U35:Y35"/>
    <mergeCell ref="AE35:AI35"/>
    <mergeCell ref="AO35:AS35"/>
    <mergeCell ref="AY35:BC35"/>
    <mergeCell ref="BI35:BM35"/>
    <mergeCell ref="K40:O40"/>
    <mergeCell ref="U40:Y40"/>
    <mergeCell ref="AE40:AI40"/>
    <mergeCell ref="AO40:AS40"/>
    <mergeCell ref="AY40:BC40"/>
    <mergeCell ref="BI40:BM40"/>
    <mergeCell ref="AO20:AS20"/>
    <mergeCell ref="AY20:BC20"/>
    <mergeCell ref="BI20:BM20"/>
    <mergeCell ref="K25:O25"/>
    <mergeCell ref="U25:Y25"/>
    <mergeCell ref="AE25:AI25"/>
    <mergeCell ref="AO25:AS25"/>
    <mergeCell ref="AY25:BC25"/>
    <mergeCell ref="BI25:BM25"/>
    <mergeCell ref="BN57:BR57"/>
    <mergeCell ref="K62:O62"/>
    <mergeCell ref="P62:T62"/>
    <mergeCell ref="U62:Y62"/>
    <mergeCell ref="Z62:AD62"/>
    <mergeCell ref="AE62:AI62"/>
    <mergeCell ref="AJ62:AN62"/>
    <mergeCell ref="AO62:AS62"/>
    <mergeCell ref="AT62:AX62"/>
    <mergeCell ref="AY62:BC62"/>
    <mergeCell ref="BD62:BH62"/>
    <mergeCell ref="BI62:BM62"/>
    <mergeCell ref="BN62:BR62"/>
    <mergeCell ref="BN42:BR42"/>
    <mergeCell ref="K47:O47"/>
    <mergeCell ref="P47:T47"/>
    <mergeCell ref="U47:Y47"/>
    <mergeCell ref="Z47:AD47"/>
    <mergeCell ref="AE47:AI47"/>
    <mergeCell ref="AJ47:AN47"/>
    <mergeCell ref="AO47:AS47"/>
    <mergeCell ref="AT47:AX47"/>
    <mergeCell ref="AY47:BC47"/>
    <mergeCell ref="BD47:BH47"/>
    <mergeCell ref="BI47:BM47"/>
    <mergeCell ref="BN47:BR47"/>
    <mergeCell ref="K45:O45"/>
    <mergeCell ref="U45:Y45"/>
    <mergeCell ref="AE45:AI45"/>
    <mergeCell ref="AO45:AS45"/>
    <mergeCell ref="AY45:BC45"/>
    <mergeCell ref="BI45:BM45"/>
    <mergeCell ref="AT24:AX24"/>
    <mergeCell ref="AY24:BC24"/>
    <mergeCell ref="BD24:BH24"/>
    <mergeCell ref="BI24:BM24"/>
    <mergeCell ref="BN24:BR24"/>
    <mergeCell ref="F37:J37"/>
    <mergeCell ref="K37:O37"/>
    <mergeCell ref="P37:T37"/>
    <mergeCell ref="U37:Y37"/>
    <mergeCell ref="Z37:AD37"/>
    <mergeCell ref="AE37:AI37"/>
    <mergeCell ref="AJ37:AN37"/>
    <mergeCell ref="AO37:AS37"/>
    <mergeCell ref="AT37:AX37"/>
    <mergeCell ref="AY37:BC37"/>
    <mergeCell ref="BD37:BH37"/>
    <mergeCell ref="BI37:BM37"/>
    <mergeCell ref="BN37:BR37"/>
    <mergeCell ref="K20:O20"/>
    <mergeCell ref="U20:Y20"/>
    <mergeCell ref="AE20:AI20"/>
    <mergeCell ref="G23:J23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22:AD22"/>
    <mergeCell ref="U22:Y22"/>
    <mergeCell ref="P22:T22"/>
    <mergeCell ref="K22:O22"/>
    <mergeCell ref="BO23:BR23"/>
    <mergeCell ref="BJ23:BM23"/>
    <mergeCell ref="BE23:BH23"/>
    <mergeCell ref="AZ23:BC23"/>
    <mergeCell ref="AU23:AX23"/>
    <mergeCell ref="AP23:AS23"/>
    <mergeCell ref="AK23:AN23"/>
    <mergeCell ref="AF23:AI23"/>
    <mergeCell ref="AA23:AD23"/>
    <mergeCell ref="V23:Y23"/>
    <mergeCell ref="Q23:T23"/>
    <mergeCell ref="L23:O23"/>
    <mergeCell ref="BN21:BR21"/>
    <mergeCell ref="BN22:BR22"/>
    <mergeCell ref="BI22:BM22"/>
    <mergeCell ref="BD22:BH22"/>
    <mergeCell ref="AY22:BC22"/>
    <mergeCell ref="AT22:AX22"/>
    <mergeCell ref="AO22:AS22"/>
    <mergeCell ref="AJ22:AN22"/>
    <mergeCell ref="AE22:AI22"/>
    <mergeCell ref="BD1:BG1"/>
    <mergeCell ref="BN32:BR32"/>
    <mergeCell ref="A18:E18"/>
    <mergeCell ref="F18:I18"/>
    <mergeCell ref="K18:O18"/>
    <mergeCell ref="U18:W18"/>
    <mergeCell ref="BI32:BM32"/>
    <mergeCell ref="BD32:BH32"/>
    <mergeCell ref="AY32:BC32"/>
    <mergeCell ref="AT32:AX32"/>
    <mergeCell ref="AO32:AS32"/>
    <mergeCell ref="AJ32:AN32"/>
    <mergeCell ref="AE32:AI32"/>
    <mergeCell ref="Z32:AD32"/>
    <mergeCell ref="U32:Y32"/>
    <mergeCell ref="P32:T32"/>
    <mergeCell ref="A25:E29"/>
    <mergeCell ref="BS25:BW29"/>
    <mergeCell ref="BX25:CB29"/>
    <mergeCell ref="CC25:CG29"/>
    <mergeCell ref="AK28:AN28"/>
    <mergeCell ref="AP28:AS28"/>
    <mergeCell ref="A20:E24"/>
    <mergeCell ref="BS20:BW24"/>
    <mergeCell ref="BX20:CB24"/>
    <mergeCell ref="CC20:CG24"/>
    <mergeCell ref="K27:O27"/>
    <mergeCell ref="P27:T27"/>
    <mergeCell ref="U27:Y27"/>
    <mergeCell ref="Z27:AD27"/>
    <mergeCell ref="AE27:AI27"/>
    <mergeCell ref="AJ27:AN27"/>
    <mergeCell ref="AO27:AS27"/>
    <mergeCell ref="AT27:AX27"/>
    <mergeCell ref="AY27:BC27"/>
    <mergeCell ref="BD27:BH27"/>
    <mergeCell ref="BI27:BM27"/>
    <mergeCell ref="BN27:BR27"/>
    <mergeCell ref="F21:J21"/>
    <mergeCell ref="K21:O21"/>
    <mergeCell ref="BX40:CB44"/>
    <mergeCell ref="CC40:CG44"/>
    <mergeCell ref="A45:E49"/>
    <mergeCell ref="BS45:BW49"/>
    <mergeCell ref="BX35:CB39"/>
    <mergeCell ref="CC35:CG39"/>
    <mergeCell ref="A40:E44"/>
    <mergeCell ref="BS40:BW44"/>
    <mergeCell ref="BX30:CB34"/>
    <mergeCell ref="CC30:CG34"/>
    <mergeCell ref="A35:E39"/>
    <mergeCell ref="BS35:BW39"/>
    <mergeCell ref="A30:E34"/>
    <mergeCell ref="BS30:BW34"/>
    <mergeCell ref="G33:J33"/>
    <mergeCell ref="L33:O33"/>
    <mergeCell ref="Q33:T33"/>
    <mergeCell ref="V33:Y33"/>
    <mergeCell ref="K32:O32"/>
    <mergeCell ref="K42:O42"/>
    <mergeCell ref="P42:T42"/>
    <mergeCell ref="U42:Y42"/>
    <mergeCell ref="BX55:CB59"/>
    <mergeCell ref="CC55:CG59"/>
    <mergeCell ref="A60:E64"/>
    <mergeCell ref="BS60:BW64"/>
    <mergeCell ref="BX50:CB54"/>
    <mergeCell ref="CC50:CG54"/>
    <mergeCell ref="A55:E59"/>
    <mergeCell ref="BS55:BW59"/>
    <mergeCell ref="BX45:CB49"/>
    <mergeCell ref="CC45:CG49"/>
    <mergeCell ref="A50:E54"/>
    <mergeCell ref="BS50:BW54"/>
    <mergeCell ref="K52:O52"/>
    <mergeCell ref="P52:T52"/>
    <mergeCell ref="U52:Y52"/>
    <mergeCell ref="Z52:AD52"/>
    <mergeCell ref="AJ52:AN52"/>
    <mergeCell ref="AE52:AI52"/>
    <mergeCell ref="AO52:AS52"/>
    <mergeCell ref="AT52:AX52"/>
    <mergeCell ref="AY52:BC52"/>
    <mergeCell ref="BD52:BH52"/>
    <mergeCell ref="BI52:BM52"/>
    <mergeCell ref="BN52:BR52"/>
    <mergeCell ref="BD65:BH69"/>
    <mergeCell ref="BI65:BM69"/>
    <mergeCell ref="BX60:CB64"/>
    <mergeCell ref="CC60:CG64"/>
    <mergeCell ref="F65:J69"/>
    <mergeCell ref="K65:O69"/>
    <mergeCell ref="P65:T69"/>
    <mergeCell ref="U65:Y69"/>
    <mergeCell ref="Z65:AD69"/>
    <mergeCell ref="AE65:AI69"/>
    <mergeCell ref="F62:J62"/>
    <mergeCell ref="AY70:BC74"/>
    <mergeCell ref="BD70:BH74"/>
    <mergeCell ref="BI70:BM74"/>
    <mergeCell ref="BN70:BR74"/>
    <mergeCell ref="G63:J63"/>
    <mergeCell ref="L63:O63"/>
    <mergeCell ref="Q63:T63"/>
    <mergeCell ref="V63:Y63"/>
    <mergeCell ref="AA63:AD63"/>
    <mergeCell ref="AF63:AI63"/>
    <mergeCell ref="BN65:BR69"/>
    <mergeCell ref="F70:J74"/>
    <mergeCell ref="K70:O74"/>
    <mergeCell ref="P70:T74"/>
    <mergeCell ref="U70:Y74"/>
    <mergeCell ref="Z70:AD74"/>
    <mergeCell ref="AE70:AI74"/>
    <mergeCell ref="AJ70:AN74"/>
    <mergeCell ref="AO70:AS74"/>
    <mergeCell ref="AT70:AX74"/>
    <mergeCell ref="AJ65:AN69"/>
    <mergeCell ref="AO65:AS69"/>
    <mergeCell ref="AT65:AX69"/>
    <mergeCell ref="AY65:BC69"/>
    <mergeCell ref="BO63:BR63"/>
    <mergeCell ref="F55:J55"/>
    <mergeCell ref="P55:T55"/>
    <mergeCell ref="Z55:AD55"/>
    <mergeCell ref="AJ55:AN55"/>
    <mergeCell ref="AO55:AS55"/>
    <mergeCell ref="AT55:AX55"/>
    <mergeCell ref="BD55:BH55"/>
    <mergeCell ref="BN55:BR55"/>
    <mergeCell ref="F56:J56"/>
    <mergeCell ref="AK63:AN63"/>
    <mergeCell ref="AP63:AS63"/>
    <mergeCell ref="AU63:AX63"/>
    <mergeCell ref="AZ63:BC63"/>
    <mergeCell ref="BE63:BH63"/>
    <mergeCell ref="BJ63:BM63"/>
    <mergeCell ref="K57:O57"/>
    <mergeCell ref="P57:T57"/>
    <mergeCell ref="U57:Y57"/>
    <mergeCell ref="Z57:AD57"/>
    <mergeCell ref="AE57:AI57"/>
    <mergeCell ref="AJ57:AN57"/>
    <mergeCell ref="AO57:AS57"/>
    <mergeCell ref="AT57:AX57"/>
    <mergeCell ref="BO58:BR58"/>
    <mergeCell ref="F50:J50"/>
    <mergeCell ref="P50:T50"/>
    <mergeCell ref="Z50:AD50"/>
    <mergeCell ref="AJ50:AN50"/>
    <mergeCell ref="AT50:AX50"/>
    <mergeCell ref="BD50:BH50"/>
    <mergeCell ref="BN50:BR50"/>
    <mergeCell ref="F51:J51"/>
    <mergeCell ref="AF58:AI58"/>
    <mergeCell ref="AK58:AN58"/>
    <mergeCell ref="AP58:AS58"/>
    <mergeCell ref="AU58:AX58"/>
    <mergeCell ref="AZ58:BC58"/>
    <mergeCell ref="BE58:BH58"/>
    <mergeCell ref="F57:J57"/>
    <mergeCell ref="G58:J58"/>
    <mergeCell ref="L58:O58"/>
    <mergeCell ref="Q58:T58"/>
    <mergeCell ref="V58:Y58"/>
    <mergeCell ref="AA58:AD58"/>
    <mergeCell ref="AY57:BC57"/>
    <mergeCell ref="BD57:BH57"/>
    <mergeCell ref="BI57:BM57"/>
    <mergeCell ref="BO53:BR53"/>
    <mergeCell ref="F45:J45"/>
    <mergeCell ref="P45:T45"/>
    <mergeCell ref="Z45:AD45"/>
    <mergeCell ref="AJ45:AN45"/>
    <mergeCell ref="AT45:AX45"/>
    <mergeCell ref="BD45:BH45"/>
    <mergeCell ref="BN45:BR45"/>
    <mergeCell ref="F46:J46"/>
    <mergeCell ref="AF53:AI53"/>
    <mergeCell ref="AK53:AN53"/>
    <mergeCell ref="AP53:AS53"/>
    <mergeCell ref="AU53:AX53"/>
    <mergeCell ref="AZ53:BC53"/>
    <mergeCell ref="BE53:BH53"/>
    <mergeCell ref="F52:J52"/>
    <mergeCell ref="G53:J53"/>
    <mergeCell ref="L53:O53"/>
    <mergeCell ref="Q53:T53"/>
    <mergeCell ref="V53:Y53"/>
    <mergeCell ref="AA53:AD53"/>
    <mergeCell ref="K50:O50"/>
    <mergeCell ref="U50:Y50"/>
    <mergeCell ref="AE50:AI50"/>
    <mergeCell ref="BJ48:BM48"/>
    <mergeCell ref="BO48:BR48"/>
    <mergeCell ref="F40:J40"/>
    <mergeCell ref="P40:T40"/>
    <mergeCell ref="Z40:AD40"/>
    <mergeCell ref="AJ40:AN40"/>
    <mergeCell ref="AT40:AX40"/>
    <mergeCell ref="BD40:BH40"/>
    <mergeCell ref="BN40:BR40"/>
    <mergeCell ref="F41:J41"/>
    <mergeCell ref="AF48:AI48"/>
    <mergeCell ref="AK48:AN48"/>
    <mergeCell ref="AP48:AS48"/>
    <mergeCell ref="AU48:AX48"/>
    <mergeCell ref="AZ48:BC48"/>
    <mergeCell ref="BE48:BH48"/>
    <mergeCell ref="F47:J47"/>
    <mergeCell ref="G48:J48"/>
    <mergeCell ref="L48:O48"/>
    <mergeCell ref="Q48:T48"/>
    <mergeCell ref="V48:Y48"/>
    <mergeCell ref="AA48:AD48"/>
    <mergeCell ref="Z42:AD42"/>
    <mergeCell ref="AE42:AI42"/>
    <mergeCell ref="BO43:BR43"/>
    <mergeCell ref="F35:J35"/>
    <mergeCell ref="P35:T35"/>
    <mergeCell ref="Z35:AD35"/>
    <mergeCell ref="AJ35:AN35"/>
    <mergeCell ref="AT35:AX35"/>
    <mergeCell ref="BD35:BH35"/>
    <mergeCell ref="BN35:BR35"/>
    <mergeCell ref="F36:J36"/>
    <mergeCell ref="AF43:AI43"/>
    <mergeCell ref="AK43:AN43"/>
    <mergeCell ref="AP43:AS43"/>
    <mergeCell ref="AU43:AX43"/>
    <mergeCell ref="AZ43:BC43"/>
    <mergeCell ref="BE43:BH43"/>
    <mergeCell ref="F42:J42"/>
    <mergeCell ref="G43:J43"/>
    <mergeCell ref="L43:O43"/>
    <mergeCell ref="Q43:T43"/>
    <mergeCell ref="V43:Y43"/>
    <mergeCell ref="AA43:AD43"/>
    <mergeCell ref="AJ42:AN42"/>
    <mergeCell ref="AO42:AS42"/>
    <mergeCell ref="AT42:AX42"/>
    <mergeCell ref="BO38:BR38"/>
    <mergeCell ref="F30:J30"/>
    <mergeCell ref="P30:T30"/>
    <mergeCell ref="Z30:AD30"/>
    <mergeCell ref="AE30:AI30"/>
    <mergeCell ref="AJ30:AN30"/>
    <mergeCell ref="AT30:AX30"/>
    <mergeCell ref="BD30:BH30"/>
    <mergeCell ref="BN30:BR30"/>
    <mergeCell ref="F31:J31"/>
    <mergeCell ref="AK38:AN38"/>
    <mergeCell ref="AP38:AS38"/>
    <mergeCell ref="AU38:AX38"/>
    <mergeCell ref="AZ38:BC38"/>
    <mergeCell ref="BE38:BH38"/>
    <mergeCell ref="BJ38:BM38"/>
    <mergeCell ref="G38:J38"/>
    <mergeCell ref="L38:O38"/>
    <mergeCell ref="Q38:T38"/>
    <mergeCell ref="V38:Y38"/>
    <mergeCell ref="AA38:AD38"/>
    <mergeCell ref="AF38:AI38"/>
    <mergeCell ref="K30:O30"/>
    <mergeCell ref="U30:Y30"/>
    <mergeCell ref="BE28:BH28"/>
    <mergeCell ref="BJ28:BM28"/>
    <mergeCell ref="BO28:BR28"/>
    <mergeCell ref="F27:J27"/>
    <mergeCell ref="BE33:BH33"/>
    <mergeCell ref="BJ33:BM33"/>
    <mergeCell ref="BO33:BR33"/>
    <mergeCell ref="G28:J28"/>
    <mergeCell ref="F32:J32"/>
    <mergeCell ref="L28:O28"/>
    <mergeCell ref="Q28:T28"/>
    <mergeCell ref="V28:Y28"/>
    <mergeCell ref="AA28:AD28"/>
    <mergeCell ref="AF28:AI28"/>
    <mergeCell ref="AA33:AD33"/>
    <mergeCell ref="AF33:AI33"/>
    <mergeCell ref="AK33:AN33"/>
    <mergeCell ref="AP33:AS33"/>
    <mergeCell ref="AU33:AX33"/>
    <mergeCell ref="AZ33:BC33"/>
    <mergeCell ref="AO30:AS30"/>
    <mergeCell ref="AY30:BC30"/>
    <mergeCell ref="BI30:BM30"/>
    <mergeCell ref="BN20:BR20"/>
    <mergeCell ref="BD25:BH25"/>
    <mergeCell ref="BN25:BR25"/>
    <mergeCell ref="F20:J20"/>
    <mergeCell ref="P20:T20"/>
    <mergeCell ref="Z20:AD20"/>
    <mergeCell ref="AJ20:AN20"/>
    <mergeCell ref="AT20:AX20"/>
    <mergeCell ref="BD20:BH20"/>
    <mergeCell ref="F25:J25"/>
    <mergeCell ref="P25:T25"/>
    <mergeCell ref="Z25:AD25"/>
    <mergeCell ref="AJ25:AN25"/>
    <mergeCell ref="AT25:AX25"/>
    <mergeCell ref="P21:T21"/>
    <mergeCell ref="U21:Y21"/>
    <mergeCell ref="Z21:AD21"/>
    <mergeCell ref="AE21:AI21"/>
    <mergeCell ref="AJ21:AN21"/>
    <mergeCell ref="AO21:AS21"/>
    <mergeCell ref="AT21:AX21"/>
    <mergeCell ref="AY21:BC21"/>
    <mergeCell ref="BD21:BH21"/>
    <mergeCell ref="BI21:BM21"/>
    <mergeCell ref="F22:J22"/>
    <mergeCell ref="F26:J26"/>
    <mergeCell ref="F29:J29"/>
    <mergeCell ref="K29:O29"/>
    <mergeCell ref="P29:T29"/>
    <mergeCell ref="U29:Y29"/>
    <mergeCell ref="Z29:AD29"/>
    <mergeCell ref="BN64:BR64"/>
    <mergeCell ref="BN56:BR56"/>
    <mergeCell ref="BN59:BR59"/>
    <mergeCell ref="BN49:BR49"/>
    <mergeCell ref="BN51:BR51"/>
    <mergeCell ref="BN54:BR54"/>
    <mergeCell ref="BN41:BR41"/>
    <mergeCell ref="BN44:BR44"/>
    <mergeCell ref="BN46:BR46"/>
    <mergeCell ref="BN34:BR34"/>
    <mergeCell ref="BN36:BR36"/>
    <mergeCell ref="BN39:BR39"/>
    <mergeCell ref="BN26:BR26"/>
    <mergeCell ref="BN29:BR29"/>
    <mergeCell ref="BN31:BR31"/>
    <mergeCell ref="AU28:AX28"/>
    <mergeCell ref="AZ28:BC28"/>
    <mergeCell ref="F34:J34"/>
    <mergeCell ref="K31:O31"/>
    <mergeCell ref="P31:T31"/>
    <mergeCell ref="U31:Y31"/>
    <mergeCell ref="Z31:AD31"/>
    <mergeCell ref="AE31:AI31"/>
    <mergeCell ref="AJ31:AN31"/>
    <mergeCell ref="AO31:AS31"/>
    <mergeCell ref="AT31:AX31"/>
    <mergeCell ref="BI31:BM31"/>
    <mergeCell ref="K34:O34"/>
    <mergeCell ref="P34:T34"/>
    <mergeCell ref="U34:Y34"/>
    <mergeCell ref="Z34:AD34"/>
    <mergeCell ref="AE34:AI34"/>
    <mergeCell ref="AJ34:AN34"/>
    <mergeCell ref="AO34:AS34"/>
    <mergeCell ref="BI29:BM29"/>
    <mergeCell ref="AE29:AI29"/>
    <mergeCell ref="AJ29:AN29"/>
    <mergeCell ref="AO29:AS29"/>
    <mergeCell ref="AT29:AX29"/>
    <mergeCell ref="AY29:BC29"/>
    <mergeCell ref="BD29:BH29"/>
    <mergeCell ref="AY39:BC39"/>
    <mergeCell ref="BD39:BH39"/>
    <mergeCell ref="AO26:AS26"/>
    <mergeCell ref="AT26:AX26"/>
    <mergeCell ref="AY26:BC26"/>
    <mergeCell ref="BD26:BH26"/>
    <mergeCell ref="BI26:BM26"/>
    <mergeCell ref="F39:J39"/>
    <mergeCell ref="K39:O39"/>
    <mergeCell ref="P39:T39"/>
    <mergeCell ref="U39:Y39"/>
    <mergeCell ref="Z39:AD39"/>
    <mergeCell ref="AT34:AX34"/>
    <mergeCell ref="AY34:BC34"/>
    <mergeCell ref="BD34:BH34"/>
    <mergeCell ref="BI34:BM34"/>
    <mergeCell ref="K26:O26"/>
    <mergeCell ref="P26:T26"/>
    <mergeCell ref="U26:Y26"/>
    <mergeCell ref="Z26:AD26"/>
    <mergeCell ref="AE26:AI26"/>
    <mergeCell ref="AJ26:AN26"/>
    <mergeCell ref="AY31:BC31"/>
    <mergeCell ref="BD31:BH31"/>
    <mergeCell ref="BD36:BH36"/>
    <mergeCell ref="BI36:BM36"/>
    <mergeCell ref="K41:O41"/>
    <mergeCell ref="P41:T41"/>
    <mergeCell ref="U41:Y41"/>
    <mergeCell ref="Z41:AD41"/>
    <mergeCell ref="AE41:AI41"/>
    <mergeCell ref="AJ41:AN41"/>
    <mergeCell ref="AO41:AS41"/>
    <mergeCell ref="AT41:AX41"/>
    <mergeCell ref="BI39:BM39"/>
    <mergeCell ref="K36:O36"/>
    <mergeCell ref="P36:T36"/>
    <mergeCell ref="U36:Y36"/>
    <mergeCell ref="Z36:AD36"/>
    <mergeCell ref="AE36:AI36"/>
    <mergeCell ref="AJ36:AN36"/>
    <mergeCell ref="AO36:AS36"/>
    <mergeCell ref="AT36:AX36"/>
    <mergeCell ref="AY36:BC36"/>
    <mergeCell ref="AE39:AI39"/>
    <mergeCell ref="AJ39:AN39"/>
    <mergeCell ref="AO39:AS39"/>
    <mergeCell ref="AT39:AX39"/>
    <mergeCell ref="K46:O46"/>
    <mergeCell ref="P46:T46"/>
    <mergeCell ref="U46:Y46"/>
    <mergeCell ref="Z46:AD46"/>
    <mergeCell ref="AE46:AI46"/>
    <mergeCell ref="AY41:BC41"/>
    <mergeCell ref="BD41:BH41"/>
    <mergeCell ref="BI41:BM41"/>
    <mergeCell ref="F44:J44"/>
    <mergeCell ref="K44:O44"/>
    <mergeCell ref="P44:T44"/>
    <mergeCell ref="U44:Y44"/>
    <mergeCell ref="Z44:AD44"/>
    <mergeCell ref="AE44:AI44"/>
    <mergeCell ref="AJ44:AN44"/>
    <mergeCell ref="BJ43:BM43"/>
    <mergeCell ref="AY42:BC42"/>
    <mergeCell ref="BD42:BH42"/>
    <mergeCell ref="BI42:BM42"/>
    <mergeCell ref="AJ46:AN46"/>
    <mergeCell ref="AO46:AS46"/>
    <mergeCell ref="AT46:AX46"/>
    <mergeCell ref="AY46:BC46"/>
    <mergeCell ref="BD46:BH46"/>
    <mergeCell ref="BI46:BM46"/>
    <mergeCell ref="AO44:AS44"/>
    <mergeCell ref="AT44:AX44"/>
    <mergeCell ref="AY44:BC44"/>
    <mergeCell ref="BD44:BH44"/>
    <mergeCell ref="BI44:BM44"/>
    <mergeCell ref="AJ49:AN49"/>
    <mergeCell ref="AO49:AS49"/>
    <mergeCell ref="AT49:AX49"/>
    <mergeCell ref="AY49:BC49"/>
    <mergeCell ref="BD49:BH49"/>
    <mergeCell ref="BI49:BM49"/>
    <mergeCell ref="F49:J49"/>
    <mergeCell ref="K49:O49"/>
    <mergeCell ref="P49:T49"/>
    <mergeCell ref="U49:Y49"/>
    <mergeCell ref="Z49:AD49"/>
    <mergeCell ref="AE49:AI49"/>
    <mergeCell ref="AO51:AS51"/>
    <mergeCell ref="AT51:AX51"/>
    <mergeCell ref="AY51:BC51"/>
    <mergeCell ref="BD51:BH51"/>
    <mergeCell ref="BI51:BM51"/>
    <mergeCell ref="F54:J54"/>
    <mergeCell ref="K54:O54"/>
    <mergeCell ref="P54:T54"/>
    <mergeCell ref="U54:Y54"/>
    <mergeCell ref="Z54:AD54"/>
    <mergeCell ref="K51:O51"/>
    <mergeCell ref="P51:T51"/>
    <mergeCell ref="U51:Y51"/>
    <mergeCell ref="Z51:AD51"/>
    <mergeCell ref="AE51:AI51"/>
    <mergeCell ref="AJ51:AN51"/>
    <mergeCell ref="BJ53:BM53"/>
    <mergeCell ref="BI54:BM54"/>
    <mergeCell ref="K56:O56"/>
    <mergeCell ref="P56:T56"/>
    <mergeCell ref="U56:Y56"/>
    <mergeCell ref="Z56:AD56"/>
    <mergeCell ref="AE56:AI56"/>
    <mergeCell ref="AJ56:AN56"/>
    <mergeCell ref="AO56:AS56"/>
    <mergeCell ref="AT56:AX56"/>
    <mergeCell ref="AY56:BC56"/>
    <mergeCell ref="AE54:AI54"/>
    <mergeCell ref="AJ54:AN54"/>
    <mergeCell ref="AO54:AS54"/>
    <mergeCell ref="AT54:AX54"/>
    <mergeCell ref="AY54:BC54"/>
    <mergeCell ref="BD54:BH54"/>
    <mergeCell ref="F64:J64"/>
    <mergeCell ref="K64:O64"/>
    <mergeCell ref="P64:T64"/>
    <mergeCell ref="U64:Y64"/>
    <mergeCell ref="Z64:AD64"/>
    <mergeCell ref="AE64:AI64"/>
    <mergeCell ref="BD56:BH56"/>
    <mergeCell ref="BI56:BM56"/>
    <mergeCell ref="F59:J59"/>
    <mergeCell ref="K59:O59"/>
    <mergeCell ref="P59:T59"/>
    <mergeCell ref="U59:Y59"/>
    <mergeCell ref="Z59:AD59"/>
    <mergeCell ref="AE59:AI59"/>
    <mergeCell ref="AJ59:AN59"/>
    <mergeCell ref="AO59:AS59"/>
    <mergeCell ref="BJ58:BM58"/>
    <mergeCell ref="AJ64:AN64"/>
    <mergeCell ref="AO64:AS64"/>
    <mergeCell ref="AT64:AX64"/>
    <mergeCell ref="AY64:BC64"/>
    <mergeCell ref="BD64:BH64"/>
    <mergeCell ref="BI64:BM64"/>
    <mergeCell ref="AT59:AX59"/>
    <mergeCell ref="AY59:BC59"/>
    <mergeCell ref="BD59:BH59"/>
    <mergeCell ref="BI59:BM59"/>
  </mergeCells>
  <pageMargins left="0" right="0" top="0" bottom="0" header="0" footer="0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Mayan Calendar history</vt:lpstr>
      <vt:lpstr>Mayan Calendar calculation</vt:lpstr>
      <vt:lpstr>'Mayan Calendar calculation'!Afdrukbereik</vt:lpstr>
      <vt:lpstr>'Mayan Calendar history'!Afdrukbereik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Ferrier</dc:creator>
  <cp:lastModifiedBy>Ronny Ferrier</cp:lastModifiedBy>
  <cp:lastPrinted>2010-02-12T01:27:10Z</cp:lastPrinted>
  <dcterms:created xsi:type="dcterms:W3CDTF">2010-02-07T15:28:15Z</dcterms:created>
  <dcterms:modified xsi:type="dcterms:W3CDTF">2010-02-12T01:32:01Z</dcterms:modified>
</cp:coreProperties>
</file>